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8_{576F5122-BF65-4B98-9EBD-0C494E2F8040}" xr6:coauthVersionLast="47" xr6:coauthVersionMax="47" xr10:uidLastSave="{00000000-0000-0000-0000-000000000000}"/>
  <bookViews>
    <workbookView xWindow="-108" yWindow="-108" windowWidth="23256" windowHeight="12456" xr2:uid="{FF909158-79AC-4C8B-806B-CB6435AD388E}"/>
  </bookViews>
  <sheets>
    <sheet name="MONITORAGGIO TRASPARENZA DA PUB" sheetId="1" r:id="rId1"/>
  </sheets>
  <externalReferences>
    <externalReference r:id="rId2"/>
  </externalReferences>
  <definedNames>
    <definedName name="_xlnm._FilterDatabase" localSheetId="0" hidden="1">'MONITORAGGIO TRASPARENZA DA PUB'!$A$7:$L$7</definedName>
    <definedName name="FPOL">'[1]TOTALI '!$B$24:$E$37</definedName>
    <definedName name="GG_LAVORATIVI">'[1]Monte Ore Previsto'!$A$8:$N$10</definedName>
    <definedName name="GOV">'[1]TOTALI '!$B$6:$E$19</definedName>
    <definedName name="SP">'[1]TOTALI '!$B$40:$E$53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1" l="1"/>
  <c r="E43" i="1"/>
  <c r="J43" i="1" s="1"/>
  <c r="D43" i="1"/>
  <c r="I43" i="1" s="1"/>
  <c r="C43" i="1"/>
  <c r="J42" i="1"/>
  <c r="I42" i="1"/>
  <c r="H42" i="1"/>
  <c r="G42" i="1" s="1"/>
  <c r="L42" i="1" s="1"/>
  <c r="E42" i="1"/>
  <c r="D42" i="1"/>
  <c r="F42" i="1" s="1"/>
  <c r="K42" i="1" s="1"/>
  <c r="C42" i="1"/>
  <c r="I41" i="1"/>
  <c r="H41" i="1"/>
  <c r="E41" i="1"/>
  <c r="J41" i="1" s="1"/>
  <c r="D41" i="1"/>
  <c r="F41" i="1" s="1"/>
  <c r="C41" i="1"/>
  <c r="I40" i="1"/>
  <c r="H40" i="1"/>
  <c r="E40" i="1"/>
  <c r="F40" i="1" s="1"/>
  <c r="D40" i="1"/>
  <c r="C40" i="1"/>
  <c r="I39" i="1"/>
  <c r="H39" i="1"/>
  <c r="E39" i="1"/>
  <c r="J39" i="1" s="1"/>
  <c r="D39" i="1"/>
  <c r="F39" i="1" s="1"/>
  <c r="C39" i="1"/>
  <c r="H38" i="1"/>
  <c r="E38" i="1"/>
  <c r="J38" i="1" s="1"/>
  <c r="D38" i="1"/>
  <c r="I38" i="1" s="1"/>
  <c r="C38" i="1"/>
  <c r="H37" i="1"/>
  <c r="E37" i="1"/>
  <c r="J37" i="1" s="1"/>
  <c r="D37" i="1"/>
  <c r="I37" i="1" s="1"/>
  <c r="C37" i="1"/>
  <c r="J36" i="1"/>
  <c r="I36" i="1"/>
  <c r="H36" i="1"/>
  <c r="G36" i="1" s="1"/>
  <c r="L36" i="1" s="1"/>
  <c r="E36" i="1"/>
  <c r="D36" i="1"/>
  <c r="F36" i="1" s="1"/>
  <c r="K36" i="1" s="1"/>
  <c r="C36" i="1"/>
  <c r="I35" i="1"/>
  <c r="H35" i="1"/>
  <c r="E35" i="1"/>
  <c r="J35" i="1" s="1"/>
  <c r="D35" i="1"/>
  <c r="F35" i="1" s="1"/>
  <c r="C35" i="1"/>
  <c r="I34" i="1"/>
  <c r="H34" i="1"/>
  <c r="E34" i="1"/>
  <c r="F34" i="1" s="1"/>
  <c r="D34" i="1"/>
  <c r="C34" i="1"/>
  <c r="I33" i="1"/>
  <c r="H33" i="1"/>
  <c r="E33" i="1"/>
  <c r="J33" i="1" s="1"/>
  <c r="D33" i="1"/>
  <c r="F33" i="1" s="1"/>
  <c r="C33" i="1"/>
  <c r="H32" i="1"/>
  <c r="I32" i="1" s="1"/>
  <c r="E32" i="1"/>
  <c r="J32" i="1" s="1"/>
  <c r="D32" i="1"/>
  <c r="C32" i="1"/>
  <c r="H31" i="1"/>
  <c r="E31" i="1"/>
  <c r="J31" i="1" s="1"/>
  <c r="D31" i="1"/>
  <c r="I31" i="1" s="1"/>
  <c r="C31" i="1"/>
  <c r="J30" i="1"/>
  <c r="I30" i="1"/>
  <c r="H30" i="1"/>
  <c r="E30" i="1"/>
  <c r="D30" i="1"/>
  <c r="F30" i="1" s="1"/>
  <c r="K30" i="1" s="1"/>
  <c r="C30" i="1"/>
  <c r="I29" i="1"/>
  <c r="H29" i="1"/>
  <c r="E29" i="1"/>
  <c r="J29" i="1" s="1"/>
  <c r="D29" i="1"/>
  <c r="F29" i="1" s="1"/>
  <c r="C29" i="1"/>
  <c r="I28" i="1"/>
  <c r="H28" i="1"/>
  <c r="E28" i="1"/>
  <c r="F28" i="1" s="1"/>
  <c r="D28" i="1"/>
  <c r="C28" i="1"/>
  <c r="I27" i="1"/>
  <c r="H27" i="1"/>
  <c r="E27" i="1"/>
  <c r="J27" i="1" s="1"/>
  <c r="D27" i="1"/>
  <c r="F27" i="1" s="1"/>
  <c r="C27" i="1"/>
  <c r="H26" i="1"/>
  <c r="I26" i="1" s="1"/>
  <c r="E26" i="1"/>
  <c r="J26" i="1" s="1"/>
  <c r="D26" i="1"/>
  <c r="C26" i="1"/>
  <c r="H25" i="1"/>
  <c r="E25" i="1"/>
  <c r="J25" i="1" s="1"/>
  <c r="D25" i="1"/>
  <c r="I25" i="1" s="1"/>
  <c r="C25" i="1"/>
  <c r="J24" i="1"/>
  <c r="I24" i="1"/>
  <c r="H24" i="1"/>
  <c r="E24" i="1"/>
  <c r="D24" i="1"/>
  <c r="F24" i="1" s="1"/>
  <c r="K24" i="1" s="1"/>
  <c r="C24" i="1"/>
  <c r="I23" i="1"/>
  <c r="H23" i="1"/>
  <c r="E23" i="1"/>
  <c r="J23" i="1" s="1"/>
  <c r="D23" i="1"/>
  <c r="F23" i="1" s="1"/>
  <c r="C23" i="1"/>
  <c r="I22" i="1"/>
  <c r="H22" i="1"/>
  <c r="E22" i="1"/>
  <c r="F22" i="1" s="1"/>
  <c r="D22" i="1"/>
  <c r="C22" i="1"/>
  <c r="I21" i="1"/>
  <c r="H21" i="1"/>
  <c r="E21" i="1"/>
  <c r="J21" i="1" s="1"/>
  <c r="D21" i="1"/>
  <c r="F21" i="1" s="1"/>
  <c r="C21" i="1"/>
  <c r="H20" i="1"/>
  <c r="E20" i="1"/>
  <c r="J20" i="1" s="1"/>
  <c r="D20" i="1"/>
  <c r="I20" i="1" s="1"/>
  <c r="C20" i="1"/>
  <c r="H19" i="1"/>
  <c r="E19" i="1"/>
  <c r="J19" i="1" s="1"/>
  <c r="D19" i="1"/>
  <c r="I19" i="1" s="1"/>
  <c r="C19" i="1"/>
  <c r="J18" i="1"/>
  <c r="I18" i="1"/>
  <c r="H18" i="1"/>
  <c r="E18" i="1"/>
  <c r="D18" i="1"/>
  <c r="F18" i="1" s="1"/>
  <c r="K18" i="1" s="1"/>
  <c r="C18" i="1"/>
  <c r="I17" i="1"/>
  <c r="H17" i="1"/>
  <c r="E17" i="1"/>
  <c r="J17" i="1" s="1"/>
  <c r="D17" i="1"/>
  <c r="F17" i="1" s="1"/>
  <c r="C17" i="1"/>
  <c r="I16" i="1"/>
  <c r="H16" i="1"/>
  <c r="E16" i="1"/>
  <c r="F16" i="1" s="1"/>
  <c r="D16" i="1"/>
  <c r="C16" i="1"/>
  <c r="I15" i="1"/>
  <c r="H15" i="1"/>
  <c r="E15" i="1"/>
  <c r="J15" i="1" s="1"/>
  <c r="D15" i="1"/>
  <c r="F15" i="1" s="1"/>
  <c r="C15" i="1"/>
  <c r="H14" i="1"/>
  <c r="I14" i="1" s="1"/>
  <c r="E14" i="1"/>
  <c r="J14" i="1" s="1"/>
  <c r="D14" i="1"/>
  <c r="C14" i="1"/>
  <c r="H13" i="1"/>
  <c r="E13" i="1"/>
  <c r="J13" i="1" s="1"/>
  <c r="D13" i="1"/>
  <c r="I13" i="1" s="1"/>
  <c r="C13" i="1"/>
  <c r="J12" i="1"/>
  <c r="I12" i="1"/>
  <c r="H12" i="1"/>
  <c r="E12" i="1"/>
  <c r="D12" i="1"/>
  <c r="F12" i="1" s="1"/>
  <c r="K12" i="1" s="1"/>
  <c r="C12" i="1"/>
  <c r="I11" i="1"/>
  <c r="H11" i="1"/>
  <c r="E11" i="1"/>
  <c r="J11" i="1" s="1"/>
  <c r="D11" i="1"/>
  <c r="F11" i="1" s="1"/>
  <c r="C11" i="1"/>
  <c r="I10" i="1"/>
  <c r="H10" i="1"/>
  <c r="E10" i="1"/>
  <c r="F10" i="1" s="1"/>
  <c r="D10" i="1"/>
  <c r="C10" i="1"/>
  <c r="I9" i="1"/>
  <c r="H9" i="1"/>
  <c r="E9" i="1"/>
  <c r="J9" i="1" s="1"/>
  <c r="D9" i="1"/>
  <c r="F9" i="1" s="1"/>
  <c r="C9" i="1"/>
  <c r="H8" i="1"/>
  <c r="I8" i="1" s="1"/>
  <c r="E8" i="1"/>
  <c r="J8" i="1" s="1"/>
  <c r="D8" i="1"/>
  <c r="C8" i="1"/>
  <c r="G29" i="1" l="1"/>
  <c r="L29" i="1" s="1"/>
  <c r="K29" i="1"/>
  <c r="K39" i="1"/>
  <c r="G39" i="1"/>
  <c r="L39" i="1" s="1"/>
  <c r="K34" i="1"/>
  <c r="G34" i="1"/>
  <c r="L34" i="1" s="1"/>
  <c r="G17" i="1"/>
  <c r="L17" i="1" s="1"/>
  <c r="K17" i="1"/>
  <c r="G27" i="1"/>
  <c r="L27" i="1" s="1"/>
  <c r="K27" i="1"/>
  <c r="G19" i="1"/>
  <c r="L19" i="1" s="1"/>
  <c r="K22" i="1"/>
  <c r="G22" i="1"/>
  <c r="L22" i="1" s="1"/>
  <c r="G24" i="1"/>
  <c r="L24" i="1" s="1"/>
  <c r="G12" i="1"/>
  <c r="L12" i="1" s="1"/>
  <c r="G15" i="1"/>
  <c r="L15" i="1" s="1"/>
  <c r="K15" i="1"/>
  <c r="G37" i="1"/>
  <c r="L37" i="1" s="1"/>
  <c r="K40" i="1"/>
  <c r="G40" i="1"/>
  <c r="L40" i="1" s="1"/>
  <c r="G35" i="1"/>
  <c r="L35" i="1" s="1"/>
  <c r="K35" i="1"/>
  <c r="G23" i="1"/>
  <c r="L23" i="1" s="1"/>
  <c r="K23" i="1"/>
  <c r="G30" i="1"/>
  <c r="L30" i="1" s="1"/>
  <c r="K33" i="1"/>
  <c r="G33" i="1"/>
  <c r="L33" i="1" s="1"/>
  <c r="K28" i="1"/>
  <c r="G28" i="1"/>
  <c r="L28" i="1" s="1"/>
  <c r="G9" i="1"/>
  <c r="L9" i="1" s="1"/>
  <c r="K9" i="1"/>
  <c r="K10" i="1"/>
  <c r="G10" i="1"/>
  <c r="L10" i="1" s="1"/>
  <c r="G11" i="1"/>
  <c r="L11" i="1" s="1"/>
  <c r="K11" i="1"/>
  <c r="G18" i="1"/>
  <c r="L18" i="1" s="1"/>
  <c r="K21" i="1"/>
  <c r="G21" i="1"/>
  <c r="L21" i="1" s="1"/>
  <c r="G43" i="1"/>
  <c r="L43" i="1" s="1"/>
  <c r="K16" i="1"/>
  <c r="G16" i="1"/>
  <c r="L16" i="1" s="1"/>
  <c r="G41" i="1"/>
  <c r="L41" i="1" s="1"/>
  <c r="K41" i="1"/>
  <c r="F8" i="1"/>
  <c r="J10" i="1"/>
  <c r="F14" i="1"/>
  <c r="J16" i="1"/>
  <c r="F20" i="1"/>
  <c r="J22" i="1"/>
  <c r="F26" i="1"/>
  <c r="J28" i="1"/>
  <c r="F32" i="1"/>
  <c r="J34" i="1"/>
  <c r="F38" i="1"/>
  <c r="J40" i="1"/>
  <c r="F13" i="1"/>
  <c r="F19" i="1"/>
  <c r="K19" i="1" s="1"/>
  <c r="F25" i="1"/>
  <c r="K25" i="1" s="1"/>
  <c r="F31" i="1"/>
  <c r="K31" i="1" s="1"/>
  <c r="F37" i="1"/>
  <c r="K37" i="1" s="1"/>
  <c r="F43" i="1"/>
  <c r="K43" i="1" s="1"/>
  <c r="K8" i="1" l="1"/>
  <c r="G8" i="1"/>
  <c r="L8" i="1" s="1"/>
  <c r="K13" i="1"/>
  <c r="G13" i="1"/>
  <c r="L13" i="1" s="1"/>
  <c r="K32" i="1"/>
  <c r="G32" i="1"/>
  <c r="L32" i="1" s="1"/>
  <c r="G25" i="1"/>
  <c r="L25" i="1" s="1"/>
  <c r="G31" i="1"/>
  <c r="L31" i="1" s="1"/>
  <c r="G14" i="1"/>
  <c r="L14" i="1" s="1"/>
  <c r="K14" i="1"/>
  <c r="K26" i="1"/>
  <c r="G26" i="1"/>
  <c r="L26" i="1" s="1"/>
  <c r="K20" i="1"/>
  <c r="G20" i="1"/>
  <c r="L20" i="1" s="1"/>
  <c r="K38" i="1"/>
  <c r="G38" i="1"/>
  <c r="L38" i="1" s="1"/>
</calcChain>
</file>

<file path=xl/sharedStrings.xml><?xml version="1.0" encoding="utf-8"?>
<sst xmlns="http://schemas.openxmlformats.org/spreadsheetml/2006/main" count="88" uniqueCount="31">
  <si>
    <t>MONITORAGGIO ASSENZE anno 2021
del personale a tempo determinato e indeterminato</t>
  </si>
  <si>
    <t>ANNO 2021</t>
  </si>
  <si>
    <t>UNITA' ORGANIZZATIVE</t>
  </si>
  <si>
    <t>NUMERO DI DIPENDENTI</t>
  </si>
  <si>
    <t>GIORNATE DI ASSENZA</t>
  </si>
  <si>
    <t>GIORNI TOTALI DI ASSENZA</t>
  </si>
  <si>
    <t>GIORNI DI PRESENZA (col. 9 - col. 7)</t>
  </si>
  <si>
    <t xml:space="preserve">GIORNI LAVORATIVI </t>
  </si>
  <si>
    <t>TASSI DI ASSENZA</t>
  </si>
  <si>
    <t>% TOTALE ASSENZE</t>
  </si>
  <si>
    <t>% TOTALE PRESENZE</t>
  </si>
  <si>
    <t>MESE</t>
  </si>
  <si>
    <t xml:space="preserve"> FERIE E FESTIVITA' SOPPRESSE</t>
  </si>
  <si>
    <t>ALTRE ASSENZE</t>
  </si>
  <si>
    <t>% FERIE E FESTIVITA' SOPPRESSE</t>
  </si>
  <si>
    <t>% ALTRE ASSENZE</t>
  </si>
  <si>
    <t>GENNAIO</t>
  </si>
  <si>
    <t>GOVERNANCE</t>
  </si>
  <si>
    <t>FORMAZIONE ORIENTAMENTO E LAVORO</t>
  </si>
  <si>
    <t>SERVIZI ALLA PERSONA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</si>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</sst>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.00_ ;\-#,##0.00\ "/>
    <numFmt numFmtId="166" formatCode="0.00&quot;%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0" xfId="0" applyNumberFormat="1" applyFont="1"/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165" fontId="1" fillId="3" borderId="8" xfId="1" applyNumberFormat="1" applyFont="1" applyFill="1" applyBorder="1" applyAlignment="1">
      <alignment horizontal="center"/>
    </xf>
    <xf numFmtId="165" fontId="1" fillId="3" borderId="12" xfId="1" applyNumberFormat="1" applyFont="1" applyFill="1" applyBorder="1" applyAlignment="1">
      <alignment horizontal="center"/>
    </xf>
    <xf numFmtId="166" fontId="1" fillId="3" borderId="12" xfId="1" applyNumberFormat="1" applyFont="1" applyFill="1" applyBorder="1" applyAlignment="1">
      <alignment horizontal="center"/>
    </xf>
    <xf numFmtId="166" fontId="1" fillId="3" borderId="13" xfId="1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vertical="center"/>
    </xf>
    <xf numFmtId="0" fontId="0" fillId="3" borderId="21" xfId="0" applyFill="1" applyBorder="1"/>
    <xf numFmtId="0" fontId="0" fillId="3" borderId="21" xfId="0" applyFill="1" applyBorder="1" applyAlignment="1">
      <alignment horizontal="center"/>
    </xf>
    <xf numFmtId="165" fontId="1" fillId="3" borderId="22" xfId="1" applyNumberFormat="1" applyFont="1" applyFill="1" applyBorder="1" applyAlignment="1">
      <alignment horizontal="center"/>
    </xf>
    <xf numFmtId="165" fontId="1" fillId="3" borderId="21" xfId="1" applyNumberFormat="1" applyFont="1" applyFill="1" applyBorder="1" applyAlignment="1">
      <alignment horizontal="center"/>
    </xf>
    <xf numFmtId="166" fontId="1" fillId="3" borderId="21" xfId="1" applyNumberFormat="1" applyFont="1" applyFill="1" applyBorder="1" applyAlignment="1">
      <alignment horizontal="center"/>
    </xf>
    <xf numFmtId="166" fontId="1" fillId="3" borderId="23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165" fontId="1" fillId="3" borderId="15" xfId="1" applyNumberFormat="1" applyFont="1" applyFill="1" applyBorder="1" applyAlignment="1">
      <alignment horizontal="center"/>
    </xf>
    <xf numFmtId="166" fontId="1" fillId="3" borderId="15" xfId="1" applyNumberFormat="1" applyFont="1" applyFill="1" applyBorder="1" applyAlignment="1">
      <alignment horizontal="center"/>
    </xf>
    <xf numFmtId="166" fontId="1" fillId="3" borderId="24" xfId="1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165" fontId="1" fillId="0" borderId="8" xfId="1" applyNumberFormat="1" applyFont="1" applyFill="1" applyBorder="1" applyAlignment="1">
      <alignment horizontal="center"/>
    </xf>
    <xf numFmtId="165" fontId="1" fillId="0" borderId="12" xfId="1" applyNumberFormat="1" applyFont="1" applyBorder="1" applyAlignment="1">
      <alignment horizontal="center"/>
    </xf>
    <xf numFmtId="166" fontId="1" fillId="0" borderId="12" xfId="1" applyNumberFormat="1" applyFont="1" applyBorder="1" applyAlignment="1">
      <alignment horizontal="center"/>
    </xf>
    <xf numFmtId="166" fontId="1" fillId="0" borderId="13" xfId="1" applyNumberFormat="1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165" fontId="1" fillId="0" borderId="22" xfId="1" applyNumberFormat="1" applyFont="1" applyFill="1" applyBorder="1" applyAlignment="1">
      <alignment horizontal="center"/>
    </xf>
    <xf numFmtId="165" fontId="1" fillId="0" borderId="21" xfId="1" applyNumberFormat="1" applyFont="1" applyBorder="1" applyAlignment="1">
      <alignment horizontal="center"/>
    </xf>
    <xf numFmtId="166" fontId="1" fillId="0" borderId="21" xfId="1" applyNumberFormat="1" applyFont="1" applyBorder="1" applyAlignment="1">
      <alignment horizontal="center"/>
    </xf>
    <xf numFmtId="166" fontId="1" fillId="0" borderId="23" xfId="1" applyNumberFormat="1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165" fontId="1" fillId="0" borderId="21" xfId="1" applyNumberFormat="1" applyFont="1" applyFill="1" applyBorder="1" applyAlignment="1">
      <alignment horizontal="center"/>
    </xf>
    <xf numFmtId="165" fontId="1" fillId="0" borderId="15" xfId="1" applyNumberFormat="1" applyFont="1" applyBorder="1" applyAlignment="1">
      <alignment horizontal="center"/>
    </xf>
    <xf numFmtId="166" fontId="1" fillId="0" borderId="15" xfId="1" applyNumberFormat="1" applyFont="1" applyBorder="1" applyAlignment="1">
      <alignment horizontal="center"/>
    </xf>
    <xf numFmtId="166" fontId="1" fillId="0" borderId="24" xfId="1" applyNumberFormat="1" applyFont="1" applyBorder="1" applyAlignment="1">
      <alignment horizontal="center"/>
    </xf>
    <xf numFmtId="0" fontId="0" fillId="3" borderId="22" xfId="0" applyFill="1" applyBorder="1"/>
    <xf numFmtId="0" fontId="0" fillId="3" borderId="16" xfId="0" applyFill="1" applyBorder="1"/>
    <xf numFmtId="0" fontId="0" fillId="0" borderId="22" xfId="0" applyBorder="1"/>
    <xf numFmtId="0" fontId="0" fillId="0" borderId="16" xfId="0" applyBorder="1"/>
    <xf numFmtId="165" fontId="1" fillId="0" borderId="16" xfId="1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2">
    <dxf>
      <numFmt numFmtId="164" formatCode="&quot;0,00&quot;"/>
    </dxf>
    <dxf>
      <numFmt numFmtId="164" formatCode="&quot;0,00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SSI%20ASSENZE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ENDENTI"/>
      <sheetName val="CONT.DIP"/>
      <sheetName val="Monte Ore Previsto"/>
      <sheetName val="TOTALI "/>
      <sheetName val="MONITORAGGIO TRASPARENZA DA PUB"/>
    </sheetNames>
    <sheetDataSet>
      <sheetData sheetId="0"/>
      <sheetData sheetId="1"/>
      <sheetData sheetId="2">
        <row r="8">
          <cell r="A8" t="str">
            <v xml:space="preserve">GOVERNANCE </v>
          </cell>
          <cell r="C8">
            <v>513</v>
          </cell>
          <cell r="D8">
            <v>540</v>
          </cell>
          <cell r="E8">
            <v>598</v>
          </cell>
          <cell r="F8">
            <v>560</v>
          </cell>
          <cell r="G8">
            <v>588</v>
          </cell>
          <cell r="H8">
            <v>588</v>
          </cell>
          <cell r="I8">
            <v>594</v>
          </cell>
          <cell r="J8">
            <v>442</v>
          </cell>
          <cell r="K8">
            <v>572</v>
          </cell>
          <cell r="L8">
            <v>650</v>
          </cell>
          <cell r="M8">
            <v>572</v>
          </cell>
          <cell r="N8">
            <v>500</v>
          </cell>
        </row>
        <row r="9">
          <cell r="A9" t="str">
            <v>FORMAZIONE ORIENTAMENTO E LAVORO</v>
          </cell>
          <cell r="C9">
            <v>950</v>
          </cell>
          <cell r="D9">
            <v>1000</v>
          </cell>
          <cell r="E9">
            <v>1150</v>
          </cell>
          <cell r="F9">
            <v>1000</v>
          </cell>
          <cell r="G9">
            <v>1029</v>
          </cell>
          <cell r="H9">
            <v>1008</v>
          </cell>
          <cell r="I9">
            <v>1012</v>
          </cell>
          <cell r="J9">
            <v>765</v>
          </cell>
          <cell r="K9">
            <v>1034</v>
          </cell>
          <cell r="L9">
            <v>1200</v>
          </cell>
          <cell r="M9">
            <v>1056</v>
          </cell>
          <cell r="N9">
            <v>940</v>
          </cell>
        </row>
        <row r="10">
          <cell r="A10" t="str">
            <v>SERVIZI ALLA PERSONA</v>
          </cell>
          <cell r="C10">
            <v>1045</v>
          </cell>
          <cell r="D10">
            <v>1100</v>
          </cell>
          <cell r="E10">
            <v>1288</v>
          </cell>
          <cell r="F10">
            <v>1120</v>
          </cell>
          <cell r="G10">
            <v>1176</v>
          </cell>
          <cell r="H10">
            <v>1176</v>
          </cell>
          <cell r="I10">
            <v>1232</v>
          </cell>
          <cell r="J10">
            <v>935</v>
          </cell>
          <cell r="K10">
            <v>1188</v>
          </cell>
          <cell r="L10">
            <v>1350</v>
          </cell>
          <cell r="M10">
            <v>1166</v>
          </cell>
          <cell r="N10">
            <v>1060</v>
          </cell>
        </row>
      </sheetData>
      <sheetData sheetId="3">
        <row r="6">
          <cell r="B6" t="str">
            <v>GOV</v>
          </cell>
          <cell r="C6" t="str">
            <v>NUMERO DIPENDENTI</v>
          </cell>
          <cell r="D6" t="str">
            <v>GG FERIE E FESTIVITA' SOPPRESSE</v>
          </cell>
          <cell r="E6" t="str">
            <v>GG ALTRE ASSENZE *</v>
          </cell>
        </row>
        <row r="7">
          <cell r="B7" t="str">
            <v xml:space="preserve">GENNAIO </v>
          </cell>
          <cell r="C7">
            <v>27</v>
          </cell>
          <cell r="D7">
            <v>87</v>
          </cell>
          <cell r="E7">
            <v>45</v>
          </cell>
        </row>
        <row r="8">
          <cell r="B8" t="str">
            <v>FEBBRAIO</v>
          </cell>
          <cell r="C8">
            <v>27</v>
          </cell>
          <cell r="D8">
            <v>22</v>
          </cell>
          <cell r="E8">
            <v>10</v>
          </cell>
        </row>
        <row r="9">
          <cell r="B9" t="str">
            <v>MARZO</v>
          </cell>
          <cell r="C9">
            <v>26</v>
          </cell>
          <cell r="D9">
            <v>19</v>
          </cell>
          <cell r="E9">
            <v>30</v>
          </cell>
        </row>
        <row r="10">
          <cell r="B10" t="str">
            <v>APRILE</v>
          </cell>
          <cell r="C10">
            <v>28</v>
          </cell>
          <cell r="D10">
            <v>48</v>
          </cell>
          <cell r="E10">
            <v>22</v>
          </cell>
        </row>
        <row r="11">
          <cell r="B11" t="str">
            <v>MAGGIO</v>
          </cell>
          <cell r="C11">
            <v>28</v>
          </cell>
          <cell r="D11">
            <v>23</v>
          </cell>
          <cell r="E11">
            <v>9</v>
          </cell>
        </row>
        <row r="12">
          <cell r="B12" t="str">
            <v>GIUGNO</v>
          </cell>
          <cell r="C12">
            <v>28</v>
          </cell>
          <cell r="D12">
            <v>95</v>
          </cell>
          <cell r="E12">
            <v>10</v>
          </cell>
        </row>
        <row r="13">
          <cell r="B13" t="str">
            <v>LUGLIO</v>
          </cell>
          <cell r="C13">
            <v>27</v>
          </cell>
          <cell r="D13">
            <v>98</v>
          </cell>
          <cell r="E13">
            <v>11</v>
          </cell>
        </row>
        <row r="14">
          <cell r="B14" t="str">
            <v>AGOSTO</v>
          </cell>
          <cell r="C14">
            <v>26</v>
          </cell>
          <cell r="D14">
            <v>348</v>
          </cell>
          <cell r="E14">
            <v>34</v>
          </cell>
        </row>
        <row r="15">
          <cell r="B15" t="str">
            <v>SETTEMBRE</v>
          </cell>
          <cell r="C15">
            <v>26</v>
          </cell>
          <cell r="D15">
            <v>53</v>
          </cell>
          <cell r="E15">
            <v>26</v>
          </cell>
        </row>
        <row r="16">
          <cell r="B16" t="str">
            <v>OTTOBRE</v>
          </cell>
          <cell r="C16">
            <v>26</v>
          </cell>
          <cell r="D16">
            <v>51</v>
          </cell>
          <cell r="E16">
            <v>17</v>
          </cell>
        </row>
        <row r="17">
          <cell r="B17" t="str">
            <v>NOVEMBRE</v>
          </cell>
          <cell r="C17">
            <v>26</v>
          </cell>
          <cell r="D17">
            <v>57</v>
          </cell>
          <cell r="E17">
            <v>23</v>
          </cell>
        </row>
        <row r="18">
          <cell r="B18" t="str">
            <v>DICEMBRE</v>
          </cell>
          <cell r="C18">
            <v>25</v>
          </cell>
          <cell r="D18">
            <v>113</v>
          </cell>
          <cell r="E18">
            <v>35</v>
          </cell>
        </row>
        <row r="19">
          <cell r="B19" t="str">
            <v>TOTALI</v>
          </cell>
        </row>
        <row r="24">
          <cell r="B24" t="str">
            <v>FPOL</v>
          </cell>
          <cell r="C24" t="str">
            <v>NUMERO DIPENDENTI</v>
          </cell>
          <cell r="D24" t="str">
            <v>GG FERIE E FESTIVITA' SOPPRESSE</v>
          </cell>
          <cell r="E24" t="str">
            <v>GG ALTRE ASSENZE *</v>
          </cell>
        </row>
        <row r="25">
          <cell r="B25" t="str">
            <v xml:space="preserve">GENNAIO </v>
          </cell>
          <cell r="C25">
            <v>50</v>
          </cell>
          <cell r="D25">
            <v>199</v>
          </cell>
          <cell r="E25">
            <v>89</v>
          </cell>
        </row>
        <row r="26">
          <cell r="B26" t="str">
            <v>FEBBRAIO</v>
          </cell>
          <cell r="C26">
            <v>50</v>
          </cell>
          <cell r="D26">
            <v>1</v>
          </cell>
          <cell r="E26">
            <v>91</v>
          </cell>
        </row>
        <row r="27">
          <cell r="B27" t="str">
            <v>MARZO</v>
          </cell>
          <cell r="C27">
            <v>50</v>
          </cell>
          <cell r="D27">
            <v>17</v>
          </cell>
          <cell r="E27">
            <v>137</v>
          </cell>
        </row>
        <row r="28">
          <cell r="B28" t="str">
            <v>APRILE</v>
          </cell>
          <cell r="C28">
            <v>50</v>
          </cell>
          <cell r="D28">
            <v>90</v>
          </cell>
          <cell r="E28">
            <v>112</v>
          </cell>
        </row>
        <row r="29">
          <cell r="B29" t="str">
            <v>MAGGIO</v>
          </cell>
          <cell r="C29">
            <v>49</v>
          </cell>
          <cell r="D29">
            <v>27</v>
          </cell>
          <cell r="E29">
            <v>139</v>
          </cell>
        </row>
        <row r="30">
          <cell r="B30" t="str">
            <v>GIUGNO</v>
          </cell>
          <cell r="C30">
            <v>48</v>
          </cell>
          <cell r="D30">
            <v>117</v>
          </cell>
          <cell r="E30">
            <v>162</v>
          </cell>
        </row>
        <row r="31">
          <cell r="B31" t="str">
            <v>LUGLIO</v>
          </cell>
          <cell r="C31">
            <v>46</v>
          </cell>
          <cell r="D31">
            <v>179</v>
          </cell>
          <cell r="E31">
            <v>153</v>
          </cell>
        </row>
        <row r="32">
          <cell r="B32" t="str">
            <v>AGOSTO</v>
          </cell>
          <cell r="C32">
            <v>45</v>
          </cell>
          <cell r="D32">
            <v>658</v>
          </cell>
          <cell r="E32">
            <v>22</v>
          </cell>
        </row>
        <row r="33">
          <cell r="B33" t="str">
            <v>SETTEMBRE</v>
          </cell>
          <cell r="C33">
            <v>47</v>
          </cell>
          <cell r="D33">
            <v>52</v>
          </cell>
          <cell r="E33">
            <v>88</v>
          </cell>
        </row>
        <row r="34">
          <cell r="B34" t="str">
            <v>OTTOBRE</v>
          </cell>
          <cell r="C34">
            <v>48</v>
          </cell>
          <cell r="D34">
            <v>38</v>
          </cell>
          <cell r="E34">
            <v>126</v>
          </cell>
        </row>
        <row r="35">
          <cell r="B35" t="str">
            <v>NOVEMBRE</v>
          </cell>
          <cell r="C35">
            <v>48</v>
          </cell>
          <cell r="D35">
            <v>73</v>
          </cell>
          <cell r="E35">
            <v>85</v>
          </cell>
        </row>
        <row r="36">
          <cell r="B36" t="str">
            <v>DICEMBRE</v>
          </cell>
          <cell r="C36">
            <v>47</v>
          </cell>
          <cell r="D36">
            <v>228</v>
          </cell>
          <cell r="E36">
            <v>98</v>
          </cell>
        </row>
        <row r="37">
          <cell r="B37" t="str">
            <v>TOTALI</v>
          </cell>
        </row>
        <row r="40">
          <cell r="B40" t="str">
            <v>SP</v>
          </cell>
          <cell r="C40" t="str">
            <v>NUMERO DIPENDENTI</v>
          </cell>
          <cell r="D40" t="str">
            <v>GG FERIE E FESTIVITA' SOPPRESSE</v>
          </cell>
          <cell r="E40" t="str">
            <v>GG ALTRE ASSENZE *</v>
          </cell>
        </row>
        <row r="41">
          <cell r="B41" t="str">
            <v xml:space="preserve">GENNAIO </v>
          </cell>
          <cell r="C41">
            <v>55</v>
          </cell>
          <cell r="D41">
            <v>109</v>
          </cell>
          <cell r="E41">
            <v>122</v>
          </cell>
        </row>
        <row r="42">
          <cell r="B42" t="str">
            <v>FEBBRAIO</v>
          </cell>
          <cell r="C42">
            <v>55</v>
          </cell>
          <cell r="D42">
            <v>6</v>
          </cell>
          <cell r="E42">
            <v>156</v>
          </cell>
        </row>
        <row r="43">
          <cell r="B43" t="str">
            <v>MARZO</v>
          </cell>
          <cell r="C43">
            <v>56</v>
          </cell>
          <cell r="D43">
            <v>6</v>
          </cell>
          <cell r="E43">
            <v>198</v>
          </cell>
        </row>
        <row r="44">
          <cell r="B44" t="str">
            <v>APRILE</v>
          </cell>
          <cell r="C44">
            <v>56</v>
          </cell>
          <cell r="D44">
            <v>65</v>
          </cell>
          <cell r="E44">
            <v>151</v>
          </cell>
        </row>
        <row r="45">
          <cell r="B45" t="str">
            <v>MAGGIO</v>
          </cell>
          <cell r="C45">
            <v>56</v>
          </cell>
          <cell r="D45">
            <v>33</v>
          </cell>
          <cell r="E45">
            <v>179</v>
          </cell>
        </row>
        <row r="46">
          <cell r="B46" t="str">
            <v>GIUGNO</v>
          </cell>
          <cell r="C46">
            <v>56</v>
          </cell>
          <cell r="D46">
            <v>114</v>
          </cell>
          <cell r="E46">
            <v>135</v>
          </cell>
        </row>
        <row r="47">
          <cell r="B47" t="str">
            <v>LUGLIO</v>
          </cell>
          <cell r="C47">
            <v>56</v>
          </cell>
          <cell r="D47">
            <v>115</v>
          </cell>
          <cell r="E47">
            <v>190</v>
          </cell>
        </row>
        <row r="48">
          <cell r="B48" t="str">
            <v>AGOSTO</v>
          </cell>
          <cell r="C48">
            <v>55</v>
          </cell>
          <cell r="D48">
            <v>713</v>
          </cell>
          <cell r="E48">
            <v>171</v>
          </cell>
        </row>
        <row r="49">
          <cell r="B49" t="str">
            <v>SETTEMBRE</v>
          </cell>
          <cell r="C49">
            <v>54</v>
          </cell>
          <cell r="D49">
            <v>86</v>
          </cell>
          <cell r="E49">
            <v>123</v>
          </cell>
        </row>
        <row r="50">
          <cell r="B50" t="str">
            <v>OTTOBRE</v>
          </cell>
          <cell r="C50">
            <v>54</v>
          </cell>
          <cell r="D50">
            <v>76</v>
          </cell>
          <cell r="E50">
            <v>69</v>
          </cell>
        </row>
        <row r="51">
          <cell r="B51" t="str">
            <v>NOVEMBRE</v>
          </cell>
          <cell r="C51">
            <v>53</v>
          </cell>
          <cell r="D51">
            <v>95</v>
          </cell>
          <cell r="E51">
            <v>87</v>
          </cell>
        </row>
        <row r="52">
          <cell r="B52" t="str">
            <v>DICEMBRE</v>
          </cell>
          <cell r="C52">
            <v>53</v>
          </cell>
          <cell r="D52">
            <v>187</v>
          </cell>
          <cell r="E52">
            <v>138</v>
          </cell>
        </row>
        <row r="53">
          <cell r="B53" t="str">
            <v>TOTALI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TASSI%20ASSENZE_202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5CF39-01D3-4D52-95A1-471EAB8F6AD1}">
  <sheetPr>
    <tabColor rgb="FF92D050"/>
  </sheetPr>
  <dimension ref="A1:L43"/>
  <sheetViews>
    <sheetView tabSelected="1" workbookViewId="0">
      <selection activeCell="G47" sqref="G47"/>
    </sheetView>
  </sheetViews>
  <sheetFormatPr defaultColWidth="9.109375" defaultRowHeight="14.4" x14ac:dyDescent="0.3"/>
  <cols>
    <col min="1" max="1" width="15.44140625" customWidth="1"/>
    <col min="2" max="2" width="37.88671875" customWidth="1"/>
    <col min="3" max="11" width="13.6640625" style="1" customWidth="1"/>
    <col min="12" max="12" width="13.6640625" customWidth="1"/>
    <col min="257" max="257" width="15.44140625" customWidth="1"/>
    <col min="258" max="258" width="37.88671875" customWidth="1"/>
    <col min="259" max="268" width="13.6640625" customWidth="1"/>
    <col min="513" max="513" width="15.44140625" customWidth="1"/>
    <col min="514" max="514" width="37.88671875" customWidth="1"/>
    <col min="515" max="524" width="13.6640625" customWidth="1"/>
    <col min="769" max="769" width="15.44140625" customWidth="1"/>
    <col min="770" max="770" width="37.88671875" customWidth="1"/>
    <col min="771" max="780" width="13.6640625" customWidth="1"/>
    <col min="1025" max="1025" width="15.44140625" customWidth="1"/>
    <col min="1026" max="1026" width="37.88671875" customWidth="1"/>
    <col min="1027" max="1036" width="13.6640625" customWidth="1"/>
    <col min="1281" max="1281" width="15.44140625" customWidth="1"/>
    <col min="1282" max="1282" width="37.88671875" customWidth="1"/>
    <col min="1283" max="1292" width="13.6640625" customWidth="1"/>
    <col min="1537" max="1537" width="15.44140625" customWidth="1"/>
    <col min="1538" max="1538" width="37.88671875" customWidth="1"/>
    <col min="1539" max="1548" width="13.6640625" customWidth="1"/>
    <col min="1793" max="1793" width="15.44140625" customWidth="1"/>
    <col min="1794" max="1794" width="37.88671875" customWidth="1"/>
    <col min="1795" max="1804" width="13.6640625" customWidth="1"/>
    <col min="2049" max="2049" width="15.44140625" customWidth="1"/>
    <col min="2050" max="2050" width="37.88671875" customWidth="1"/>
    <col min="2051" max="2060" width="13.6640625" customWidth="1"/>
    <col min="2305" max="2305" width="15.44140625" customWidth="1"/>
    <col min="2306" max="2306" width="37.88671875" customWidth="1"/>
    <col min="2307" max="2316" width="13.6640625" customWidth="1"/>
    <col min="2561" max="2561" width="15.44140625" customWidth="1"/>
    <col min="2562" max="2562" width="37.88671875" customWidth="1"/>
    <col min="2563" max="2572" width="13.6640625" customWidth="1"/>
    <col min="2817" max="2817" width="15.44140625" customWidth="1"/>
    <col min="2818" max="2818" width="37.88671875" customWidth="1"/>
    <col min="2819" max="2828" width="13.6640625" customWidth="1"/>
    <col min="3073" max="3073" width="15.44140625" customWidth="1"/>
    <col min="3074" max="3074" width="37.88671875" customWidth="1"/>
    <col min="3075" max="3084" width="13.6640625" customWidth="1"/>
    <col min="3329" max="3329" width="15.44140625" customWidth="1"/>
    <col min="3330" max="3330" width="37.88671875" customWidth="1"/>
    <col min="3331" max="3340" width="13.6640625" customWidth="1"/>
    <col min="3585" max="3585" width="15.44140625" customWidth="1"/>
    <col min="3586" max="3586" width="37.88671875" customWidth="1"/>
    <col min="3587" max="3596" width="13.6640625" customWidth="1"/>
    <col min="3841" max="3841" width="15.44140625" customWidth="1"/>
    <col min="3842" max="3842" width="37.88671875" customWidth="1"/>
    <col min="3843" max="3852" width="13.6640625" customWidth="1"/>
    <col min="4097" max="4097" width="15.44140625" customWidth="1"/>
    <col min="4098" max="4098" width="37.88671875" customWidth="1"/>
    <col min="4099" max="4108" width="13.6640625" customWidth="1"/>
    <col min="4353" max="4353" width="15.44140625" customWidth="1"/>
    <col min="4354" max="4354" width="37.88671875" customWidth="1"/>
    <col min="4355" max="4364" width="13.6640625" customWidth="1"/>
    <col min="4609" max="4609" width="15.44140625" customWidth="1"/>
    <col min="4610" max="4610" width="37.88671875" customWidth="1"/>
    <col min="4611" max="4620" width="13.6640625" customWidth="1"/>
    <col min="4865" max="4865" width="15.44140625" customWidth="1"/>
    <col min="4866" max="4866" width="37.88671875" customWidth="1"/>
    <col min="4867" max="4876" width="13.6640625" customWidth="1"/>
    <col min="5121" max="5121" width="15.44140625" customWidth="1"/>
    <col min="5122" max="5122" width="37.88671875" customWidth="1"/>
    <col min="5123" max="5132" width="13.6640625" customWidth="1"/>
    <col min="5377" max="5377" width="15.44140625" customWidth="1"/>
    <col min="5378" max="5378" width="37.88671875" customWidth="1"/>
    <col min="5379" max="5388" width="13.6640625" customWidth="1"/>
    <col min="5633" max="5633" width="15.44140625" customWidth="1"/>
    <col min="5634" max="5634" width="37.88671875" customWidth="1"/>
    <col min="5635" max="5644" width="13.6640625" customWidth="1"/>
    <col min="5889" max="5889" width="15.44140625" customWidth="1"/>
    <col min="5890" max="5890" width="37.88671875" customWidth="1"/>
    <col min="5891" max="5900" width="13.6640625" customWidth="1"/>
    <col min="6145" max="6145" width="15.44140625" customWidth="1"/>
    <col min="6146" max="6146" width="37.88671875" customWidth="1"/>
    <col min="6147" max="6156" width="13.6640625" customWidth="1"/>
    <col min="6401" max="6401" width="15.44140625" customWidth="1"/>
    <col min="6402" max="6402" width="37.88671875" customWidth="1"/>
    <col min="6403" max="6412" width="13.6640625" customWidth="1"/>
    <col min="6657" max="6657" width="15.44140625" customWidth="1"/>
    <col min="6658" max="6658" width="37.88671875" customWidth="1"/>
    <col min="6659" max="6668" width="13.6640625" customWidth="1"/>
    <col min="6913" max="6913" width="15.44140625" customWidth="1"/>
    <col min="6914" max="6914" width="37.88671875" customWidth="1"/>
    <col min="6915" max="6924" width="13.6640625" customWidth="1"/>
    <col min="7169" max="7169" width="15.44140625" customWidth="1"/>
    <col min="7170" max="7170" width="37.88671875" customWidth="1"/>
    <col min="7171" max="7180" width="13.6640625" customWidth="1"/>
    <col min="7425" max="7425" width="15.44140625" customWidth="1"/>
    <col min="7426" max="7426" width="37.88671875" customWidth="1"/>
    <col min="7427" max="7436" width="13.6640625" customWidth="1"/>
    <col min="7681" max="7681" width="15.44140625" customWidth="1"/>
    <col min="7682" max="7682" width="37.88671875" customWidth="1"/>
    <col min="7683" max="7692" width="13.6640625" customWidth="1"/>
    <col min="7937" max="7937" width="15.44140625" customWidth="1"/>
    <col min="7938" max="7938" width="37.88671875" customWidth="1"/>
    <col min="7939" max="7948" width="13.6640625" customWidth="1"/>
    <col min="8193" max="8193" width="15.44140625" customWidth="1"/>
    <col min="8194" max="8194" width="37.88671875" customWidth="1"/>
    <col min="8195" max="8204" width="13.6640625" customWidth="1"/>
    <col min="8449" max="8449" width="15.44140625" customWidth="1"/>
    <col min="8450" max="8450" width="37.88671875" customWidth="1"/>
    <col min="8451" max="8460" width="13.6640625" customWidth="1"/>
    <col min="8705" max="8705" width="15.44140625" customWidth="1"/>
    <col min="8706" max="8706" width="37.88671875" customWidth="1"/>
    <col min="8707" max="8716" width="13.6640625" customWidth="1"/>
    <col min="8961" max="8961" width="15.44140625" customWidth="1"/>
    <col min="8962" max="8962" width="37.88671875" customWidth="1"/>
    <col min="8963" max="8972" width="13.6640625" customWidth="1"/>
    <col min="9217" max="9217" width="15.44140625" customWidth="1"/>
    <col min="9218" max="9218" width="37.88671875" customWidth="1"/>
    <col min="9219" max="9228" width="13.6640625" customWidth="1"/>
    <col min="9473" max="9473" width="15.44140625" customWidth="1"/>
    <col min="9474" max="9474" width="37.88671875" customWidth="1"/>
    <col min="9475" max="9484" width="13.6640625" customWidth="1"/>
    <col min="9729" max="9729" width="15.44140625" customWidth="1"/>
    <col min="9730" max="9730" width="37.88671875" customWidth="1"/>
    <col min="9731" max="9740" width="13.6640625" customWidth="1"/>
    <col min="9985" max="9985" width="15.44140625" customWidth="1"/>
    <col min="9986" max="9986" width="37.88671875" customWidth="1"/>
    <col min="9987" max="9996" width="13.6640625" customWidth="1"/>
    <col min="10241" max="10241" width="15.44140625" customWidth="1"/>
    <col min="10242" max="10242" width="37.88671875" customWidth="1"/>
    <col min="10243" max="10252" width="13.6640625" customWidth="1"/>
    <col min="10497" max="10497" width="15.44140625" customWidth="1"/>
    <col min="10498" max="10498" width="37.88671875" customWidth="1"/>
    <col min="10499" max="10508" width="13.6640625" customWidth="1"/>
    <col min="10753" max="10753" width="15.44140625" customWidth="1"/>
    <col min="10754" max="10754" width="37.88671875" customWidth="1"/>
    <col min="10755" max="10764" width="13.6640625" customWidth="1"/>
    <col min="11009" max="11009" width="15.44140625" customWidth="1"/>
    <col min="11010" max="11010" width="37.88671875" customWidth="1"/>
    <col min="11011" max="11020" width="13.6640625" customWidth="1"/>
    <col min="11265" max="11265" width="15.44140625" customWidth="1"/>
    <col min="11266" max="11266" width="37.88671875" customWidth="1"/>
    <col min="11267" max="11276" width="13.6640625" customWidth="1"/>
    <col min="11521" max="11521" width="15.44140625" customWidth="1"/>
    <col min="11522" max="11522" width="37.88671875" customWidth="1"/>
    <col min="11523" max="11532" width="13.6640625" customWidth="1"/>
    <col min="11777" max="11777" width="15.44140625" customWidth="1"/>
    <col min="11778" max="11778" width="37.88671875" customWidth="1"/>
    <col min="11779" max="11788" width="13.6640625" customWidth="1"/>
    <col min="12033" max="12033" width="15.44140625" customWidth="1"/>
    <col min="12034" max="12034" width="37.88671875" customWidth="1"/>
    <col min="12035" max="12044" width="13.6640625" customWidth="1"/>
    <col min="12289" max="12289" width="15.44140625" customWidth="1"/>
    <col min="12290" max="12290" width="37.88671875" customWidth="1"/>
    <col min="12291" max="12300" width="13.6640625" customWidth="1"/>
    <col min="12545" max="12545" width="15.44140625" customWidth="1"/>
    <col min="12546" max="12546" width="37.88671875" customWidth="1"/>
    <col min="12547" max="12556" width="13.6640625" customWidth="1"/>
    <col min="12801" max="12801" width="15.44140625" customWidth="1"/>
    <col min="12802" max="12802" width="37.88671875" customWidth="1"/>
    <col min="12803" max="12812" width="13.6640625" customWidth="1"/>
    <col min="13057" max="13057" width="15.44140625" customWidth="1"/>
    <col min="13058" max="13058" width="37.88671875" customWidth="1"/>
    <col min="13059" max="13068" width="13.6640625" customWidth="1"/>
    <col min="13313" max="13313" width="15.44140625" customWidth="1"/>
    <col min="13314" max="13314" width="37.88671875" customWidth="1"/>
    <col min="13315" max="13324" width="13.6640625" customWidth="1"/>
    <col min="13569" max="13569" width="15.44140625" customWidth="1"/>
    <col min="13570" max="13570" width="37.88671875" customWidth="1"/>
    <col min="13571" max="13580" width="13.6640625" customWidth="1"/>
    <col min="13825" max="13825" width="15.44140625" customWidth="1"/>
    <col min="13826" max="13826" width="37.88671875" customWidth="1"/>
    <col min="13827" max="13836" width="13.6640625" customWidth="1"/>
    <col min="14081" max="14081" width="15.44140625" customWidth="1"/>
    <col min="14082" max="14082" width="37.88671875" customWidth="1"/>
    <col min="14083" max="14092" width="13.6640625" customWidth="1"/>
    <col min="14337" max="14337" width="15.44140625" customWidth="1"/>
    <col min="14338" max="14338" width="37.88671875" customWidth="1"/>
    <col min="14339" max="14348" width="13.6640625" customWidth="1"/>
    <col min="14593" max="14593" width="15.44140625" customWidth="1"/>
    <col min="14594" max="14594" width="37.88671875" customWidth="1"/>
    <col min="14595" max="14604" width="13.6640625" customWidth="1"/>
    <col min="14849" max="14849" width="15.44140625" customWidth="1"/>
    <col min="14850" max="14850" width="37.88671875" customWidth="1"/>
    <col min="14851" max="14860" width="13.6640625" customWidth="1"/>
    <col min="15105" max="15105" width="15.44140625" customWidth="1"/>
    <col min="15106" max="15106" width="37.88671875" customWidth="1"/>
    <col min="15107" max="15116" width="13.6640625" customWidth="1"/>
    <col min="15361" max="15361" width="15.44140625" customWidth="1"/>
    <col min="15362" max="15362" width="37.88671875" customWidth="1"/>
    <col min="15363" max="15372" width="13.6640625" customWidth="1"/>
    <col min="15617" max="15617" width="15.44140625" customWidth="1"/>
    <col min="15618" max="15618" width="37.88671875" customWidth="1"/>
    <col min="15619" max="15628" width="13.6640625" customWidth="1"/>
    <col min="15873" max="15873" width="15.44140625" customWidth="1"/>
    <col min="15874" max="15874" width="37.88671875" customWidth="1"/>
    <col min="15875" max="15884" width="13.6640625" customWidth="1"/>
    <col min="16129" max="16129" width="15.44140625" customWidth="1"/>
    <col min="16130" max="16130" width="37.88671875" customWidth="1"/>
    <col min="16131" max="16140" width="13.6640625" customWidth="1"/>
  </cols>
  <sheetData>
    <row r="1" spans="1:12" ht="15" thickBot="1" x14ac:dyDescent="0.35"/>
    <row r="2" spans="1:12" ht="20.100000000000001" customHeight="1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1:12" ht="20.100000000000001" customHeight="1" thickBot="1" x14ac:dyDescent="0.3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2" ht="18.600000000000001" thickBot="1" x14ac:dyDescent="0.4">
      <c r="B4" s="8"/>
    </row>
    <row r="5" spans="1:12" ht="19.5" customHeight="1" x14ac:dyDescent="0.3">
      <c r="A5" s="9" t="s">
        <v>1</v>
      </c>
      <c r="B5" s="10" t="s">
        <v>2</v>
      </c>
      <c r="C5" s="11" t="s">
        <v>3</v>
      </c>
      <c r="D5" s="12" t="s">
        <v>4</v>
      </c>
      <c r="E5" s="13"/>
      <c r="F5" s="14" t="s">
        <v>5</v>
      </c>
      <c r="G5" s="15" t="s">
        <v>6</v>
      </c>
      <c r="H5" s="15" t="s">
        <v>7</v>
      </c>
      <c r="I5" s="16" t="s">
        <v>8</v>
      </c>
      <c r="J5" s="17"/>
      <c r="K5" s="18" t="s">
        <v>9</v>
      </c>
      <c r="L5" s="19" t="s">
        <v>10</v>
      </c>
    </row>
    <row r="6" spans="1:12" ht="78.75" customHeight="1" thickBot="1" x14ac:dyDescent="0.35">
      <c r="A6" s="20" t="s">
        <v>11</v>
      </c>
      <c r="B6" s="21"/>
      <c r="C6" s="22"/>
      <c r="D6" s="23" t="s">
        <v>12</v>
      </c>
      <c r="E6" s="23" t="s">
        <v>13</v>
      </c>
      <c r="F6" s="24"/>
      <c r="G6" s="25"/>
      <c r="H6" s="25"/>
      <c r="I6" s="23" t="s">
        <v>14</v>
      </c>
      <c r="J6" s="23" t="s">
        <v>15</v>
      </c>
      <c r="K6" s="26"/>
      <c r="L6" s="27"/>
    </row>
    <row r="7" spans="1:12" s="1" customFormat="1" ht="16.5" customHeight="1" thickBot="1" x14ac:dyDescent="0.3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7</v>
      </c>
      <c r="G7" s="28">
        <v>8</v>
      </c>
      <c r="H7" s="28">
        <v>9</v>
      </c>
      <c r="I7" s="28">
        <v>10</v>
      </c>
      <c r="J7" s="28">
        <v>11</v>
      </c>
      <c r="K7" s="28">
        <v>13</v>
      </c>
      <c r="L7" s="28">
        <v>14</v>
      </c>
    </row>
    <row r="8" spans="1:12" x14ac:dyDescent="0.3">
      <c r="A8" s="29" t="s">
        <v>16</v>
      </c>
      <c r="B8" s="30" t="s">
        <v>17</v>
      </c>
      <c r="C8" s="31">
        <f>INDEX(GOV,2,2)</f>
        <v>27</v>
      </c>
      <c r="D8" s="31">
        <f>INDEX(GOV,2,3)</f>
        <v>87</v>
      </c>
      <c r="E8" s="31">
        <f>INDEX(GOV,2,4)</f>
        <v>45</v>
      </c>
      <c r="F8" s="32">
        <f>D8+E8</f>
        <v>132</v>
      </c>
      <c r="G8" s="33">
        <f t="shared" ref="G8:G43" si="0">H8-F8</f>
        <v>381</v>
      </c>
      <c r="H8" s="33">
        <f>INDEX(GG_LAVORATIVI,1,3)</f>
        <v>513</v>
      </c>
      <c r="I8" s="34">
        <f t="shared" ref="I8:I43" si="1">D8*100/H8</f>
        <v>16.959064327485379</v>
      </c>
      <c r="J8" s="34">
        <f t="shared" ref="J8:J43" si="2">E8*100/H8</f>
        <v>8.7719298245614041</v>
      </c>
      <c r="K8" s="34">
        <f t="shared" ref="K8:K43" si="3">F8*100/H8</f>
        <v>25.730994152046783</v>
      </c>
      <c r="L8" s="35">
        <f t="shared" ref="L8:L43" si="4">G8*100/H8</f>
        <v>74.26900584795321</v>
      </c>
    </row>
    <row r="9" spans="1:12" x14ac:dyDescent="0.3">
      <c r="A9" s="36" t="s">
        <v>16</v>
      </c>
      <c r="B9" s="37" t="s">
        <v>18</v>
      </c>
      <c r="C9" s="38">
        <f>INDEX(FPOL,2,2)</f>
        <v>50</v>
      </c>
      <c r="D9" s="38">
        <f>INDEX(FPOL,2,3)</f>
        <v>199</v>
      </c>
      <c r="E9" s="38">
        <f>INDEX(FPOL,2,4)</f>
        <v>89</v>
      </c>
      <c r="F9" s="39">
        <f t="shared" ref="F9:F43" si="5">D9+E9</f>
        <v>288</v>
      </c>
      <c r="G9" s="40">
        <f t="shared" si="0"/>
        <v>662</v>
      </c>
      <c r="H9" s="40">
        <f>INDEX(GG_LAVORATIVI,2,3)</f>
        <v>950</v>
      </c>
      <c r="I9" s="41">
        <f t="shared" si="1"/>
        <v>20.94736842105263</v>
      </c>
      <c r="J9" s="41">
        <f t="shared" si="2"/>
        <v>9.3684210526315788</v>
      </c>
      <c r="K9" s="41">
        <f t="shared" si="3"/>
        <v>30.315789473684209</v>
      </c>
      <c r="L9" s="42">
        <f t="shared" si="4"/>
        <v>69.684210526315795</v>
      </c>
    </row>
    <row r="10" spans="1:12" ht="15" thickBot="1" x14ac:dyDescent="0.35">
      <c r="A10" s="43" t="s">
        <v>16</v>
      </c>
      <c r="B10" s="44" t="s">
        <v>19</v>
      </c>
      <c r="C10" s="45">
        <f>INDEX(SP,2,2)</f>
        <v>55</v>
      </c>
      <c r="D10" s="45">
        <f>INDEX(SP,2,3)</f>
        <v>109</v>
      </c>
      <c r="E10" s="45">
        <f>INDEX(FPOL,2,4)</f>
        <v>89</v>
      </c>
      <c r="F10" s="40">
        <f t="shared" si="5"/>
        <v>198</v>
      </c>
      <c r="G10" s="46">
        <f t="shared" si="0"/>
        <v>847</v>
      </c>
      <c r="H10" s="46">
        <f>INDEX(GG_LAVORATIVI,3,3)</f>
        <v>1045</v>
      </c>
      <c r="I10" s="47">
        <f t="shared" si="1"/>
        <v>10.430622009569378</v>
      </c>
      <c r="J10" s="47">
        <f t="shared" si="2"/>
        <v>8.5167464114832541</v>
      </c>
      <c r="K10" s="47">
        <f t="shared" si="3"/>
        <v>18.94736842105263</v>
      </c>
      <c r="L10" s="48">
        <f t="shared" si="4"/>
        <v>81.05263157894737</v>
      </c>
    </row>
    <row r="11" spans="1:12" x14ac:dyDescent="0.3">
      <c r="A11" s="49" t="s">
        <v>20</v>
      </c>
      <c r="B11" s="50" t="s">
        <v>17</v>
      </c>
      <c r="C11" s="51">
        <f>INDEX(GOV,3,2)</f>
        <v>27</v>
      </c>
      <c r="D11" s="51">
        <f>INDEX(GOV,3,3)</f>
        <v>22</v>
      </c>
      <c r="E11" s="51">
        <f>INDEX(GOV,3,4)</f>
        <v>10</v>
      </c>
      <c r="F11" s="52">
        <f t="shared" si="5"/>
        <v>32</v>
      </c>
      <c r="G11" s="53">
        <f t="shared" si="0"/>
        <v>508</v>
      </c>
      <c r="H11" s="53">
        <f>INDEX(GG_LAVORATIVI,1,4)</f>
        <v>540</v>
      </c>
      <c r="I11" s="54">
        <f t="shared" si="1"/>
        <v>4.0740740740740744</v>
      </c>
      <c r="J11" s="54">
        <f t="shared" si="2"/>
        <v>1.8518518518518519</v>
      </c>
      <c r="K11" s="54">
        <f t="shared" si="3"/>
        <v>5.9259259259259256</v>
      </c>
      <c r="L11" s="55">
        <f t="shared" si="4"/>
        <v>94.074074074074076</v>
      </c>
    </row>
    <row r="12" spans="1:12" x14ac:dyDescent="0.3">
      <c r="A12" s="56" t="s">
        <v>20</v>
      </c>
      <c r="B12" s="57" t="s">
        <v>18</v>
      </c>
      <c r="C12" s="58">
        <f>INDEX(FPOL,3,2)</f>
        <v>50</v>
      </c>
      <c r="D12" s="58">
        <f>INDEX(FPOL,3,3)</f>
        <v>1</v>
      </c>
      <c r="E12" s="58">
        <f>INDEX(FPOL,3,4)</f>
        <v>91</v>
      </c>
      <c r="F12" s="59">
        <f t="shared" si="5"/>
        <v>92</v>
      </c>
      <c r="G12" s="60">
        <f t="shared" si="0"/>
        <v>908</v>
      </c>
      <c r="H12" s="60">
        <f>INDEX(GG_LAVORATIVI,2,4)</f>
        <v>1000</v>
      </c>
      <c r="I12" s="61">
        <f t="shared" si="1"/>
        <v>0.1</v>
      </c>
      <c r="J12" s="61">
        <f t="shared" si="2"/>
        <v>9.1</v>
      </c>
      <c r="K12" s="61">
        <f t="shared" si="3"/>
        <v>9.1999999999999993</v>
      </c>
      <c r="L12" s="62">
        <f t="shared" si="4"/>
        <v>90.8</v>
      </c>
    </row>
    <row r="13" spans="1:12" ht="15" thickBot="1" x14ac:dyDescent="0.35">
      <c r="A13" s="63" t="s">
        <v>20</v>
      </c>
      <c r="B13" s="64" t="s">
        <v>19</v>
      </c>
      <c r="C13" s="65">
        <f>INDEX(SP,3,2)</f>
        <v>55</v>
      </c>
      <c r="D13" s="65">
        <f>INDEX(SP,3,3)</f>
        <v>6</v>
      </c>
      <c r="E13" s="65">
        <f>INDEX(SP,3,4)</f>
        <v>156</v>
      </c>
      <c r="F13" s="66">
        <f t="shared" si="5"/>
        <v>162</v>
      </c>
      <c r="G13" s="67">
        <f t="shared" si="0"/>
        <v>938</v>
      </c>
      <c r="H13" s="67">
        <f>INDEX(GG_LAVORATIVI,3,4)</f>
        <v>1100</v>
      </c>
      <c r="I13" s="68">
        <f t="shared" si="1"/>
        <v>0.54545454545454541</v>
      </c>
      <c r="J13" s="68">
        <f t="shared" si="2"/>
        <v>14.181818181818182</v>
      </c>
      <c r="K13" s="68">
        <f t="shared" si="3"/>
        <v>14.727272727272727</v>
      </c>
      <c r="L13" s="69">
        <f t="shared" si="4"/>
        <v>85.272727272727266</v>
      </c>
    </row>
    <row r="14" spans="1:12" x14ac:dyDescent="0.3">
      <c r="A14" s="29" t="s">
        <v>21</v>
      </c>
      <c r="B14" s="30" t="s">
        <v>17</v>
      </c>
      <c r="C14" s="31">
        <f>INDEX(GOV,4,2)</f>
        <v>26</v>
      </c>
      <c r="D14" s="31">
        <f>INDEX(GOV,4,3)</f>
        <v>19</v>
      </c>
      <c r="E14" s="31">
        <f>INDEX(GOV,4,4)</f>
        <v>30</v>
      </c>
      <c r="F14" s="32">
        <f t="shared" si="5"/>
        <v>49</v>
      </c>
      <c r="G14" s="33">
        <f t="shared" si="0"/>
        <v>549</v>
      </c>
      <c r="H14" s="33">
        <f>INDEX(GG_LAVORATIVI,1,5)</f>
        <v>598</v>
      </c>
      <c r="I14" s="34">
        <f t="shared" si="1"/>
        <v>3.1772575250836121</v>
      </c>
      <c r="J14" s="34">
        <f t="shared" si="2"/>
        <v>5.0167224080267561</v>
      </c>
      <c r="K14" s="34">
        <f t="shared" si="3"/>
        <v>8.1939799331103682</v>
      </c>
      <c r="L14" s="35">
        <f t="shared" si="4"/>
        <v>91.80602006688963</v>
      </c>
    </row>
    <row r="15" spans="1:12" x14ac:dyDescent="0.3">
      <c r="A15" s="36" t="s">
        <v>21</v>
      </c>
      <c r="B15" s="37" t="s">
        <v>18</v>
      </c>
      <c r="C15" s="38">
        <f>INDEX(FPOL,4,2)</f>
        <v>50</v>
      </c>
      <c r="D15" s="38">
        <f>INDEX(FPOL,4,3)</f>
        <v>17</v>
      </c>
      <c r="E15" s="38">
        <f>INDEX(FPOL,4,4)</f>
        <v>137</v>
      </c>
      <c r="F15" s="39">
        <f t="shared" si="5"/>
        <v>154</v>
      </c>
      <c r="G15" s="40">
        <f t="shared" si="0"/>
        <v>996</v>
      </c>
      <c r="H15" s="40">
        <f>INDEX(GG_LAVORATIVI,2,5)</f>
        <v>1150</v>
      </c>
      <c r="I15" s="41">
        <f t="shared" si="1"/>
        <v>1.4782608695652173</v>
      </c>
      <c r="J15" s="41">
        <f t="shared" si="2"/>
        <v>11.913043478260869</v>
      </c>
      <c r="K15" s="41">
        <f t="shared" si="3"/>
        <v>13.391304347826088</v>
      </c>
      <c r="L15" s="42">
        <f t="shared" si="4"/>
        <v>86.608695652173907</v>
      </c>
    </row>
    <row r="16" spans="1:12" ht="15" thickBot="1" x14ac:dyDescent="0.35">
      <c r="A16" s="43" t="s">
        <v>21</v>
      </c>
      <c r="B16" s="44" t="s">
        <v>19</v>
      </c>
      <c r="C16" s="45">
        <f>INDEX(SP,4,2)</f>
        <v>56</v>
      </c>
      <c r="D16" s="45">
        <f>INDEX(SP,4,3)</f>
        <v>6</v>
      </c>
      <c r="E16" s="45">
        <f>INDEX(SP,4,4)</f>
        <v>198</v>
      </c>
      <c r="F16" s="40">
        <f t="shared" si="5"/>
        <v>204</v>
      </c>
      <c r="G16" s="46">
        <f t="shared" si="0"/>
        <v>1084</v>
      </c>
      <c r="H16" s="46">
        <f>INDEX(GG_LAVORATIVI,3,5)</f>
        <v>1288</v>
      </c>
      <c r="I16" s="47">
        <f t="shared" si="1"/>
        <v>0.46583850931677018</v>
      </c>
      <c r="J16" s="47">
        <f t="shared" si="2"/>
        <v>15.372670807453416</v>
      </c>
      <c r="K16" s="47">
        <f t="shared" si="3"/>
        <v>15.838509316770187</v>
      </c>
      <c r="L16" s="48">
        <f t="shared" si="4"/>
        <v>84.161490683229815</v>
      </c>
    </row>
    <row r="17" spans="1:12" x14ac:dyDescent="0.3">
      <c r="A17" s="49" t="s">
        <v>22</v>
      </c>
      <c r="B17" s="50" t="s">
        <v>17</v>
      </c>
      <c r="C17" s="51">
        <f>INDEX(GOV,5,2)</f>
        <v>28</v>
      </c>
      <c r="D17" s="51">
        <f>INDEX(GOV,5,3)</f>
        <v>48</v>
      </c>
      <c r="E17" s="51">
        <f>INDEX(GOV,5,4)</f>
        <v>22</v>
      </c>
      <c r="F17" s="52">
        <f t="shared" si="5"/>
        <v>70</v>
      </c>
      <c r="G17" s="53">
        <f t="shared" si="0"/>
        <v>490</v>
      </c>
      <c r="H17" s="53">
        <f>INDEX(GG_LAVORATIVI,1,6)</f>
        <v>560</v>
      </c>
      <c r="I17" s="54">
        <f t="shared" si="1"/>
        <v>8.5714285714285712</v>
      </c>
      <c r="J17" s="54">
        <f t="shared" si="2"/>
        <v>3.9285714285714284</v>
      </c>
      <c r="K17" s="54">
        <f t="shared" si="3"/>
        <v>12.5</v>
      </c>
      <c r="L17" s="55">
        <f t="shared" si="4"/>
        <v>87.5</v>
      </c>
    </row>
    <row r="18" spans="1:12" x14ac:dyDescent="0.3">
      <c r="A18" s="56" t="s">
        <v>22</v>
      </c>
      <c r="B18" s="57" t="s">
        <v>18</v>
      </c>
      <c r="C18" s="58">
        <f>INDEX(FPOL,5,2)</f>
        <v>50</v>
      </c>
      <c r="D18" s="58">
        <f>INDEX(FPOL,5,3)</f>
        <v>90</v>
      </c>
      <c r="E18" s="58">
        <f>INDEX(FPOL,5,4)</f>
        <v>112</v>
      </c>
      <c r="F18" s="59">
        <f t="shared" si="5"/>
        <v>202</v>
      </c>
      <c r="G18" s="60">
        <f t="shared" si="0"/>
        <v>798</v>
      </c>
      <c r="H18" s="60">
        <f>INDEX(GG_LAVORATIVI,2,6)</f>
        <v>1000</v>
      </c>
      <c r="I18" s="61">
        <f t="shared" si="1"/>
        <v>9</v>
      </c>
      <c r="J18" s="61">
        <f t="shared" si="2"/>
        <v>11.2</v>
      </c>
      <c r="K18" s="61">
        <f t="shared" si="3"/>
        <v>20.2</v>
      </c>
      <c r="L18" s="62">
        <f t="shared" si="4"/>
        <v>79.8</v>
      </c>
    </row>
    <row r="19" spans="1:12" ht="15" thickBot="1" x14ac:dyDescent="0.35">
      <c r="A19" s="63" t="s">
        <v>22</v>
      </c>
      <c r="B19" s="64" t="s">
        <v>19</v>
      </c>
      <c r="C19" s="65">
        <f>INDEX(SP,5,2)</f>
        <v>56</v>
      </c>
      <c r="D19" s="65">
        <f>INDEX(SP,5,3)</f>
        <v>65</v>
      </c>
      <c r="E19" s="65">
        <f>INDEX(SP,5,4)</f>
        <v>151</v>
      </c>
      <c r="F19" s="66">
        <f t="shared" si="5"/>
        <v>216</v>
      </c>
      <c r="G19" s="67">
        <f t="shared" si="0"/>
        <v>904</v>
      </c>
      <c r="H19" s="67">
        <f>INDEX(GG_LAVORATIVI,3,6)</f>
        <v>1120</v>
      </c>
      <c r="I19" s="68">
        <f t="shared" si="1"/>
        <v>5.8035714285714288</v>
      </c>
      <c r="J19" s="68">
        <f t="shared" si="2"/>
        <v>13.482142857142858</v>
      </c>
      <c r="K19" s="68">
        <f t="shared" si="3"/>
        <v>19.285714285714285</v>
      </c>
      <c r="L19" s="69">
        <f t="shared" si="4"/>
        <v>80.714285714285708</v>
      </c>
    </row>
    <row r="20" spans="1:12" x14ac:dyDescent="0.3">
      <c r="A20" s="29" t="s">
        <v>23</v>
      </c>
      <c r="B20" s="30" t="s">
        <v>17</v>
      </c>
      <c r="C20" s="31">
        <f>INDEX(GOV,6,2)</f>
        <v>28</v>
      </c>
      <c r="D20" s="31">
        <f>INDEX(GOV,6,3)</f>
        <v>23</v>
      </c>
      <c r="E20" s="31">
        <f>INDEX(GOV,6,4)</f>
        <v>9</v>
      </c>
      <c r="F20" s="32">
        <f t="shared" si="5"/>
        <v>32</v>
      </c>
      <c r="G20" s="33">
        <f t="shared" si="0"/>
        <v>556</v>
      </c>
      <c r="H20" s="33">
        <f>INDEX(GG_LAVORATIVI,1,7)</f>
        <v>588</v>
      </c>
      <c r="I20" s="34">
        <f t="shared" si="1"/>
        <v>3.9115646258503403</v>
      </c>
      <c r="J20" s="34">
        <f t="shared" si="2"/>
        <v>1.5306122448979591</v>
      </c>
      <c r="K20" s="34">
        <f t="shared" si="3"/>
        <v>5.4421768707482991</v>
      </c>
      <c r="L20" s="35">
        <f t="shared" si="4"/>
        <v>94.557823129251702</v>
      </c>
    </row>
    <row r="21" spans="1:12" x14ac:dyDescent="0.3">
      <c r="A21" s="36" t="s">
        <v>23</v>
      </c>
      <c r="B21" s="70" t="s">
        <v>18</v>
      </c>
      <c r="C21" s="38">
        <f>INDEX(FPOL,6,2)</f>
        <v>49</v>
      </c>
      <c r="D21" s="38">
        <f>INDEX(FPOL,6,3)</f>
        <v>27</v>
      </c>
      <c r="E21" s="38">
        <f>INDEX(FPOL,6,4)</f>
        <v>139</v>
      </c>
      <c r="F21" s="39">
        <f t="shared" si="5"/>
        <v>166</v>
      </c>
      <c r="G21" s="40">
        <f t="shared" si="0"/>
        <v>863</v>
      </c>
      <c r="H21" s="40">
        <f>INDEX(GG_LAVORATIVI,2,7)</f>
        <v>1029</v>
      </c>
      <c r="I21" s="41">
        <f t="shared" si="1"/>
        <v>2.6239067055393588</v>
      </c>
      <c r="J21" s="41">
        <f t="shared" si="2"/>
        <v>13.508260447035957</v>
      </c>
      <c r="K21" s="41">
        <f t="shared" si="3"/>
        <v>16.132167152575317</v>
      </c>
      <c r="L21" s="42">
        <f t="shared" si="4"/>
        <v>83.86783284742468</v>
      </c>
    </row>
    <row r="22" spans="1:12" ht="15" thickBot="1" x14ac:dyDescent="0.35">
      <c r="A22" s="43" t="s">
        <v>23</v>
      </c>
      <c r="B22" s="71" t="s">
        <v>19</v>
      </c>
      <c r="C22" s="45">
        <f>INDEX(SP,6,2)</f>
        <v>56</v>
      </c>
      <c r="D22" s="45">
        <f>INDEX(SP,6,3)</f>
        <v>33</v>
      </c>
      <c r="E22" s="45">
        <f>INDEX(SP,6,4)</f>
        <v>179</v>
      </c>
      <c r="F22" s="39">
        <f t="shared" si="5"/>
        <v>212</v>
      </c>
      <c r="G22" s="46">
        <f t="shared" si="0"/>
        <v>964</v>
      </c>
      <c r="H22" s="46">
        <f>INDEX(GG_LAVORATIVI,3,7)</f>
        <v>1176</v>
      </c>
      <c r="I22" s="47">
        <f t="shared" si="1"/>
        <v>2.806122448979592</v>
      </c>
      <c r="J22" s="47">
        <f t="shared" si="2"/>
        <v>15.221088435374149</v>
      </c>
      <c r="K22" s="47">
        <f t="shared" si="3"/>
        <v>18.027210884353742</v>
      </c>
      <c r="L22" s="48">
        <f t="shared" si="4"/>
        <v>81.972789115646265</v>
      </c>
    </row>
    <row r="23" spans="1:12" x14ac:dyDescent="0.3">
      <c r="A23" s="49" t="s">
        <v>24</v>
      </c>
      <c r="B23" s="50" t="s">
        <v>17</v>
      </c>
      <c r="C23" s="51">
        <f>INDEX(GOV,7,2)</f>
        <v>28</v>
      </c>
      <c r="D23" s="51">
        <f>INDEX(GOV,7,3)</f>
        <v>95</v>
      </c>
      <c r="E23" s="51">
        <f>INDEX(GOV,7,4)</f>
        <v>10</v>
      </c>
      <c r="F23" s="52">
        <f t="shared" si="5"/>
        <v>105</v>
      </c>
      <c r="G23" s="53">
        <f t="shared" si="0"/>
        <v>483</v>
      </c>
      <c r="H23" s="53">
        <f>INDEX(GG_LAVORATIVI,1,8)</f>
        <v>588</v>
      </c>
      <c r="I23" s="54">
        <f t="shared" si="1"/>
        <v>16.156462585034014</v>
      </c>
      <c r="J23" s="54">
        <f t="shared" si="2"/>
        <v>1.7006802721088434</v>
      </c>
      <c r="K23" s="54">
        <f t="shared" si="3"/>
        <v>17.857142857142858</v>
      </c>
      <c r="L23" s="55">
        <f t="shared" si="4"/>
        <v>82.142857142857139</v>
      </c>
    </row>
    <row r="24" spans="1:12" x14ac:dyDescent="0.3">
      <c r="A24" s="56" t="s">
        <v>24</v>
      </c>
      <c r="B24" s="72" t="s">
        <v>18</v>
      </c>
      <c r="C24" s="58">
        <f>INDEX(FPOL,7,2)</f>
        <v>48</v>
      </c>
      <c r="D24" s="58">
        <f>INDEX(FPOL,7,3)</f>
        <v>117</v>
      </c>
      <c r="E24" s="58">
        <f>INDEX(FPOL,7,4)</f>
        <v>162</v>
      </c>
      <c r="F24" s="59">
        <f t="shared" si="5"/>
        <v>279</v>
      </c>
      <c r="G24" s="60">
        <f t="shared" si="0"/>
        <v>729</v>
      </c>
      <c r="H24" s="60">
        <f>INDEX(GG_LAVORATIVI,2,8)</f>
        <v>1008</v>
      </c>
      <c r="I24" s="61">
        <f t="shared" si="1"/>
        <v>11.607142857142858</v>
      </c>
      <c r="J24" s="61">
        <f t="shared" si="2"/>
        <v>16.071428571428573</v>
      </c>
      <c r="K24" s="61">
        <f t="shared" si="3"/>
        <v>27.678571428571427</v>
      </c>
      <c r="L24" s="62">
        <f t="shared" si="4"/>
        <v>72.321428571428569</v>
      </c>
    </row>
    <row r="25" spans="1:12" ht="15" thickBot="1" x14ac:dyDescent="0.35">
      <c r="A25" s="63" t="s">
        <v>24</v>
      </c>
      <c r="B25" s="73" t="s">
        <v>19</v>
      </c>
      <c r="C25" s="65">
        <f>INDEX(SP,7,2)</f>
        <v>56</v>
      </c>
      <c r="D25" s="65">
        <f>INDEX(SP,7,3)</f>
        <v>114</v>
      </c>
      <c r="E25" s="65">
        <f>INDEX(SP,7,4)</f>
        <v>135</v>
      </c>
      <c r="F25" s="66">
        <f t="shared" si="5"/>
        <v>249</v>
      </c>
      <c r="G25" s="67">
        <f t="shared" si="0"/>
        <v>927</v>
      </c>
      <c r="H25" s="67">
        <f>INDEX(GG_LAVORATIVI,3,8)</f>
        <v>1176</v>
      </c>
      <c r="I25" s="68">
        <f t="shared" si="1"/>
        <v>9.6938775510204085</v>
      </c>
      <c r="J25" s="68">
        <f t="shared" si="2"/>
        <v>11.479591836734693</v>
      </c>
      <c r="K25" s="68">
        <f t="shared" si="3"/>
        <v>21.173469387755102</v>
      </c>
      <c r="L25" s="69">
        <f t="shared" si="4"/>
        <v>78.826530612244895</v>
      </c>
    </row>
    <row r="26" spans="1:12" x14ac:dyDescent="0.3">
      <c r="A26" s="29" t="s">
        <v>25</v>
      </c>
      <c r="B26" s="30" t="s">
        <v>17</v>
      </c>
      <c r="C26" s="31">
        <f>INDEX(GOV,8,2)</f>
        <v>27</v>
      </c>
      <c r="D26" s="31">
        <f>INDEX(GOV,8,3)</f>
        <v>98</v>
      </c>
      <c r="E26" s="31">
        <f>INDEX(GOV,8,4)</f>
        <v>11</v>
      </c>
      <c r="F26" s="32">
        <f t="shared" si="5"/>
        <v>109</v>
      </c>
      <c r="G26" s="33">
        <f t="shared" si="0"/>
        <v>485</v>
      </c>
      <c r="H26" s="33">
        <f>INDEX(GG_LAVORATIVI,1,9)</f>
        <v>594</v>
      </c>
      <c r="I26" s="34">
        <f t="shared" si="1"/>
        <v>16.498316498316498</v>
      </c>
      <c r="J26" s="34">
        <f t="shared" si="2"/>
        <v>1.8518518518518519</v>
      </c>
      <c r="K26" s="34">
        <f t="shared" si="3"/>
        <v>18.350168350168349</v>
      </c>
      <c r="L26" s="35">
        <f t="shared" si="4"/>
        <v>81.649831649831654</v>
      </c>
    </row>
    <row r="27" spans="1:12" x14ac:dyDescent="0.3">
      <c r="A27" s="36" t="s">
        <v>25</v>
      </c>
      <c r="B27" s="70" t="s">
        <v>18</v>
      </c>
      <c r="C27" s="38">
        <f>INDEX(FPOL,8,2)</f>
        <v>46</v>
      </c>
      <c r="D27" s="38">
        <f>INDEX(FPOL,8,3)</f>
        <v>179</v>
      </c>
      <c r="E27" s="38">
        <f>INDEX(FPOL,8,4)</f>
        <v>153</v>
      </c>
      <c r="F27" s="39">
        <f t="shared" si="5"/>
        <v>332</v>
      </c>
      <c r="G27" s="40">
        <f t="shared" si="0"/>
        <v>680</v>
      </c>
      <c r="H27" s="40">
        <f>INDEX(GG_LAVORATIVI,2,9)</f>
        <v>1012</v>
      </c>
      <c r="I27" s="41">
        <f t="shared" si="1"/>
        <v>17.687747035573121</v>
      </c>
      <c r="J27" s="41">
        <f t="shared" si="2"/>
        <v>15.118577075098814</v>
      </c>
      <c r="K27" s="41">
        <f t="shared" si="3"/>
        <v>32.806324110671937</v>
      </c>
      <c r="L27" s="42">
        <f t="shared" si="4"/>
        <v>67.193675889328063</v>
      </c>
    </row>
    <row r="28" spans="1:12" ht="15" thickBot="1" x14ac:dyDescent="0.35">
      <c r="A28" s="43" t="s">
        <v>25</v>
      </c>
      <c r="B28" s="71" t="s">
        <v>19</v>
      </c>
      <c r="C28" s="45">
        <f>INDEX(SP,8,2)</f>
        <v>56</v>
      </c>
      <c r="D28" s="45">
        <f>INDEX(SP,8,3)</f>
        <v>115</v>
      </c>
      <c r="E28" s="45">
        <f>INDEX(SP,8,4)</f>
        <v>190</v>
      </c>
      <c r="F28" s="40">
        <f t="shared" si="5"/>
        <v>305</v>
      </c>
      <c r="G28" s="46">
        <f t="shared" si="0"/>
        <v>927</v>
      </c>
      <c r="H28" s="46">
        <f>INDEX(GG_LAVORATIVI,3,9)</f>
        <v>1232</v>
      </c>
      <c r="I28" s="47">
        <f t="shared" si="1"/>
        <v>9.3344155844155843</v>
      </c>
      <c r="J28" s="47">
        <f t="shared" si="2"/>
        <v>15.422077922077921</v>
      </c>
      <c r="K28" s="47">
        <f t="shared" si="3"/>
        <v>24.756493506493506</v>
      </c>
      <c r="L28" s="48">
        <f t="shared" si="4"/>
        <v>75.243506493506487</v>
      </c>
    </row>
    <row r="29" spans="1:12" x14ac:dyDescent="0.3">
      <c r="A29" s="49" t="s">
        <v>26</v>
      </c>
      <c r="B29" s="50" t="s">
        <v>17</v>
      </c>
      <c r="C29" s="51">
        <f>INDEX(GOV,9,2)</f>
        <v>26</v>
      </c>
      <c r="D29" s="51">
        <f>INDEX(GOV,9,3)</f>
        <v>348</v>
      </c>
      <c r="E29" s="51">
        <f>INDEX(GOV,9,4)</f>
        <v>34</v>
      </c>
      <c r="F29" s="52">
        <f t="shared" si="5"/>
        <v>382</v>
      </c>
      <c r="G29" s="53">
        <f t="shared" si="0"/>
        <v>60</v>
      </c>
      <c r="H29" s="53">
        <f>INDEX(GG_LAVORATIVI,1,10)</f>
        <v>442</v>
      </c>
      <c r="I29" s="54">
        <f t="shared" si="1"/>
        <v>78.733031674208149</v>
      </c>
      <c r="J29" s="54">
        <f t="shared" si="2"/>
        <v>7.6923076923076925</v>
      </c>
      <c r="K29" s="54">
        <f t="shared" si="3"/>
        <v>86.425339366515843</v>
      </c>
      <c r="L29" s="55">
        <f t="shared" si="4"/>
        <v>13.574660633484163</v>
      </c>
    </row>
    <row r="30" spans="1:12" x14ac:dyDescent="0.3">
      <c r="A30" s="56" t="s">
        <v>26</v>
      </c>
      <c r="B30" s="72" t="s">
        <v>18</v>
      </c>
      <c r="C30" s="58">
        <f>INDEX(FPOL,9,2)</f>
        <v>45</v>
      </c>
      <c r="D30" s="58">
        <f>INDEX(FPOL,9,3)</f>
        <v>658</v>
      </c>
      <c r="E30" s="58">
        <f>INDEX(FPOL,9,4)</f>
        <v>22</v>
      </c>
      <c r="F30" s="59">
        <f t="shared" si="5"/>
        <v>680</v>
      </c>
      <c r="G30" s="60">
        <f t="shared" si="0"/>
        <v>85</v>
      </c>
      <c r="H30" s="60">
        <f>INDEX(GG_LAVORATIVI,2,10)</f>
        <v>765</v>
      </c>
      <c r="I30" s="61">
        <f t="shared" si="1"/>
        <v>86.013071895424844</v>
      </c>
      <c r="J30" s="61">
        <f t="shared" si="2"/>
        <v>2.8758169934640523</v>
      </c>
      <c r="K30" s="61">
        <f t="shared" si="3"/>
        <v>88.888888888888886</v>
      </c>
      <c r="L30" s="62">
        <f t="shared" si="4"/>
        <v>11.111111111111111</v>
      </c>
    </row>
    <row r="31" spans="1:12" ht="15" thickBot="1" x14ac:dyDescent="0.35">
      <c r="A31" s="63" t="s">
        <v>26</v>
      </c>
      <c r="B31" s="73" t="s">
        <v>19</v>
      </c>
      <c r="C31" s="65">
        <f>INDEX(SP,9,2)</f>
        <v>55</v>
      </c>
      <c r="D31" s="65">
        <f>INDEX(SP,9,3)</f>
        <v>713</v>
      </c>
      <c r="E31" s="65">
        <f>INDEX(SP,9,4)</f>
        <v>171</v>
      </c>
      <c r="F31" s="66">
        <f t="shared" si="5"/>
        <v>884</v>
      </c>
      <c r="G31" s="67">
        <f t="shared" si="0"/>
        <v>51</v>
      </c>
      <c r="H31" s="67">
        <f>INDEX(GG_LAVORATIVI,3,10)</f>
        <v>935</v>
      </c>
      <c r="I31" s="68">
        <f t="shared" si="1"/>
        <v>76.256684491978604</v>
      </c>
      <c r="J31" s="68">
        <f t="shared" si="2"/>
        <v>18.288770053475936</v>
      </c>
      <c r="K31" s="68">
        <f t="shared" si="3"/>
        <v>94.545454545454547</v>
      </c>
      <c r="L31" s="69">
        <f t="shared" si="4"/>
        <v>5.4545454545454541</v>
      </c>
    </row>
    <row r="32" spans="1:12" x14ac:dyDescent="0.3">
      <c r="A32" s="29" t="s">
        <v>27</v>
      </c>
      <c r="B32" s="30" t="s">
        <v>17</v>
      </c>
      <c r="C32" s="31">
        <f>INDEX(GOV,10,2)</f>
        <v>26</v>
      </c>
      <c r="D32" s="31">
        <f>INDEX(GOV,10,3)</f>
        <v>53</v>
      </c>
      <c r="E32" s="31">
        <f>INDEX(GOV,10,4)</f>
        <v>26</v>
      </c>
      <c r="F32" s="32">
        <f t="shared" si="5"/>
        <v>79</v>
      </c>
      <c r="G32" s="33">
        <f>H32-F32</f>
        <v>493</v>
      </c>
      <c r="H32" s="33">
        <f>INDEX(GG_LAVORATIVI,1,11)</f>
        <v>572</v>
      </c>
      <c r="I32" s="34">
        <f t="shared" si="1"/>
        <v>9.265734265734265</v>
      </c>
      <c r="J32" s="34">
        <f t="shared" si="2"/>
        <v>4.5454545454545459</v>
      </c>
      <c r="K32" s="34">
        <f t="shared" si="3"/>
        <v>13.811188811188812</v>
      </c>
      <c r="L32" s="35">
        <f t="shared" si="4"/>
        <v>86.188811188811187</v>
      </c>
    </row>
    <row r="33" spans="1:12" x14ac:dyDescent="0.3">
      <c r="A33" s="36" t="s">
        <v>27</v>
      </c>
      <c r="B33" s="70" t="s">
        <v>18</v>
      </c>
      <c r="C33" s="38">
        <f>INDEX(FPOL,10,2)</f>
        <v>47</v>
      </c>
      <c r="D33" s="38">
        <f>INDEX(FPOL,10,3)</f>
        <v>52</v>
      </c>
      <c r="E33" s="38">
        <f>INDEX(FPOL,10,4)</f>
        <v>88</v>
      </c>
      <c r="F33" s="39">
        <f t="shared" si="5"/>
        <v>140</v>
      </c>
      <c r="G33" s="40">
        <f t="shared" si="0"/>
        <v>894</v>
      </c>
      <c r="H33" s="40">
        <f>INDEX(GG_LAVORATIVI,2,11)</f>
        <v>1034</v>
      </c>
      <c r="I33" s="41">
        <f t="shared" si="1"/>
        <v>5.0290135396518378</v>
      </c>
      <c r="J33" s="41">
        <f t="shared" si="2"/>
        <v>8.5106382978723403</v>
      </c>
      <c r="K33" s="41">
        <f t="shared" si="3"/>
        <v>13.539651837524177</v>
      </c>
      <c r="L33" s="42">
        <f t="shared" si="4"/>
        <v>86.460348162475825</v>
      </c>
    </row>
    <row r="34" spans="1:12" ht="15" thickBot="1" x14ac:dyDescent="0.35">
      <c r="A34" s="43" t="s">
        <v>27</v>
      </c>
      <c r="B34" s="71" t="s">
        <v>19</v>
      </c>
      <c r="C34" s="45">
        <f>INDEX(SP,10,2)</f>
        <v>54</v>
      </c>
      <c r="D34" s="45">
        <f>INDEX(SP,10,3)</f>
        <v>86</v>
      </c>
      <c r="E34" s="45">
        <f>INDEX(SP,10,4)</f>
        <v>123</v>
      </c>
      <c r="F34" s="40">
        <f t="shared" si="5"/>
        <v>209</v>
      </c>
      <c r="G34" s="46">
        <f t="shared" si="0"/>
        <v>979</v>
      </c>
      <c r="H34" s="46">
        <f>INDEX(GG_LAVORATIVI,3,11)</f>
        <v>1188</v>
      </c>
      <c r="I34" s="47">
        <f t="shared" si="1"/>
        <v>7.2390572390572387</v>
      </c>
      <c r="J34" s="47">
        <f t="shared" si="2"/>
        <v>10.353535353535353</v>
      </c>
      <c r="K34" s="47">
        <f t="shared" si="3"/>
        <v>17.592592592592592</v>
      </c>
      <c r="L34" s="48">
        <f t="shared" si="4"/>
        <v>82.407407407407405</v>
      </c>
    </row>
    <row r="35" spans="1:12" x14ac:dyDescent="0.3">
      <c r="A35" s="49" t="s">
        <v>28</v>
      </c>
      <c r="B35" s="50" t="s">
        <v>17</v>
      </c>
      <c r="C35" s="51">
        <f>INDEX(GOV,11,2)</f>
        <v>26</v>
      </c>
      <c r="D35" s="51">
        <f>INDEX(GOV,11,3)</f>
        <v>51</v>
      </c>
      <c r="E35" s="51">
        <f>INDEX(GOV,11,4)</f>
        <v>17</v>
      </c>
      <c r="F35" s="52">
        <f t="shared" si="5"/>
        <v>68</v>
      </c>
      <c r="G35" s="53">
        <f t="shared" si="0"/>
        <v>582</v>
      </c>
      <c r="H35" s="53">
        <f>INDEX(GG_LAVORATIVI,1,12)</f>
        <v>650</v>
      </c>
      <c r="I35" s="54">
        <f t="shared" si="1"/>
        <v>7.8461538461538458</v>
      </c>
      <c r="J35" s="54">
        <f t="shared" si="2"/>
        <v>2.6153846153846154</v>
      </c>
      <c r="K35" s="54">
        <f t="shared" si="3"/>
        <v>10.461538461538462</v>
      </c>
      <c r="L35" s="55">
        <f t="shared" si="4"/>
        <v>89.538461538461533</v>
      </c>
    </row>
    <row r="36" spans="1:12" x14ac:dyDescent="0.3">
      <c r="A36" s="56" t="s">
        <v>28</v>
      </c>
      <c r="B36" s="72" t="s">
        <v>18</v>
      </c>
      <c r="C36" s="58">
        <f>INDEX(FPOL,11,2)</f>
        <v>48</v>
      </c>
      <c r="D36" s="58">
        <f>INDEX(FPOL,11,3)</f>
        <v>38</v>
      </c>
      <c r="E36" s="58">
        <f>INDEX(FPOL,11,4)</f>
        <v>126</v>
      </c>
      <c r="F36" s="59">
        <f t="shared" si="5"/>
        <v>164</v>
      </c>
      <c r="G36" s="60">
        <f t="shared" si="0"/>
        <v>1036</v>
      </c>
      <c r="H36" s="60">
        <f>INDEX(GG_LAVORATIVI,2,12)</f>
        <v>1200</v>
      </c>
      <c r="I36" s="61">
        <f t="shared" si="1"/>
        <v>3.1666666666666665</v>
      </c>
      <c r="J36" s="61">
        <f t="shared" si="2"/>
        <v>10.5</v>
      </c>
      <c r="K36" s="61">
        <f t="shared" si="3"/>
        <v>13.666666666666666</v>
      </c>
      <c r="L36" s="62">
        <f t="shared" si="4"/>
        <v>86.333333333333329</v>
      </c>
    </row>
    <row r="37" spans="1:12" ht="15" thickBot="1" x14ac:dyDescent="0.35">
      <c r="A37" s="63" t="s">
        <v>28</v>
      </c>
      <c r="B37" s="73" t="s">
        <v>19</v>
      </c>
      <c r="C37" s="65">
        <f>INDEX(SP,11,2)</f>
        <v>54</v>
      </c>
      <c r="D37" s="65">
        <f>INDEX(SP,11,3)</f>
        <v>76</v>
      </c>
      <c r="E37" s="65">
        <f>INDEX(SP,11,4)</f>
        <v>69</v>
      </c>
      <c r="F37" s="66">
        <f t="shared" si="5"/>
        <v>145</v>
      </c>
      <c r="G37" s="67">
        <f t="shared" si="0"/>
        <v>1205</v>
      </c>
      <c r="H37" s="67">
        <f>INDEX(GG_LAVORATIVI,3,12)</f>
        <v>1350</v>
      </c>
      <c r="I37" s="68">
        <f t="shared" si="1"/>
        <v>5.6296296296296298</v>
      </c>
      <c r="J37" s="68">
        <f t="shared" si="2"/>
        <v>5.1111111111111107</v>
      </c>
      <c r="K37" s="68">
        <f t="shared" si="3"/>
        <v>10.74074074074074</v>
      </c>
      <c r="L37" s="69">
        <f t="shared" si="4"/>
        <v>89.259259259259252</v>
      </c>
    </row>
    <row r="38" spans="1:12" x14ac:dyDescent="0.3">
      <c r="A38" s="29" t="s">
        <v>29</v>
      </c>
      <c r="B38" s="30" t="s">
        <v>17</v>
      </c>
      <c r="C38" s="31">
        <f>INDEX(GOV,12,2)</f>
        <v>26</v>
      </c>
      <c r="D38" s="31">
        <f>INDEX(GOV,12,3)</f>
        <v>57</v>
      </c>
      <c r="E38" s="31">
        <f>INDEX(GOV,12,4)</f>
        <v>23</v>
      </c>
      <c r="F38" s="32">
        <f t="shared" si="5"/>
        <v>80</v>
      </c>
      <c r="G38" s="33">
        <f t="shared" si="0"/>
        <v>492</v>
      </c>
      <c r="H38" s="33">
        <f>INDEX(GG_LAVORATIVI,1,13)</f>
        <v>572</v>
      </c>
      <c r="I38" s="34">
        <f t="shared" si="1"/>
        <v>9.965034965034965</v>
      </c>
      <c r="J38" s="34">
        <f t="shared" si="2"/>
        <v>4.0209790209790208</v>
      </c>
      <c r="K38" s="34">
        <f t="shared" si="3"/>
        <v>13.986013986013987</v>
      </c>
      <c r="L38" s="35">
        <f t="shared" si="4"/>
        <v>86.013986013986013</v>
      </c>
    </row>
    <row r="39" spans="1:12" x14ac:dyDescent="0.3">
      <c r="A39" s="36" t="s">
        <v>29</v>
      </c>
      <c r="B39" s="70" t="s">
        <v>18</v>
      </c>
      <c r="C39" s="38">
        <f>INDEX(FPOL,12,2)</f>
        <v>48</v>
      </c>
      <c r="D39" s="38">
        <f>INDEX(FPOL,12,3)</f>
        <v>73</v>
      </c>
      <c r="E39" s="38">
        <f>INDEX(FPOL,12,4)</f>
        <v>85</v>
      </c>
      <c r="F39" s="39">
        <f t="shared" si="5"/>
        <v>158</v>
      </c>
      <c r="G39" s="40">
        <f t="shared" si="0"/>
        <v>898</v>
      </c>
      <c r="H39" s="40">
        <f>INDEX(GG_LAVORATIVI,2,13)</f>
        <v>1056</v>
      </c>
      <c r="I39" s="41">
        <f t="shared" si="1"/>
        <v>6.9128787878787881</v>
      </c>
      <c r="J39" s="41">
        <f t="shared" si="2"/>
        <v>8.0492424242424239</v>
      </c>
      <c r="K39" s="41">
        <f t="shared" si="3"/>
        <v>14.962121212121213</v>
      </c>
      <c r="L39" s="42">
        <f t="shared" si="4"/>
        <v>85.037878787878782</v>
      </c>
    </row>
    <row r="40" spans="1:12" ht="15" thickBot="1" x14ac:dyDescent="0.35">
      <c r="A40" s="43" t="s">
        <v>29</v>
      </c>
      <c r="B40" s="71" t="s">
        <v>19</v>
      </c>
      <c r="C40" s="45">
        <f>INDEX(SP,12,2)</f>
        <v>53</v>
      </c>
      <c r="D40" s="45">
        <f>INDEX(SP,12,3)</f>
        <v>95</v>
      </c>
      <c r="E40" s="45">
        <f>INDEX(SP,12,4)</f>
        <v>87</v>
      </c>
      <c r="F40" s="40">
        <f t="shared" si="5"/>
        <v>182</v>
      </c>
      <c r="G40" s="46">
        <f t="shared" si="0"/>
        <v>984</v>
      </c>
      <c r="H40" s="46">
        <f>INDEX(GG_LAVORATIVI,3,13)</f>
        <v>1166</v>
      </c>
      <c r="I40" s="47">
        <f t="shared" si="1"/>
        <v>8.1475128644939971</v>
      </c>
      <c r="J40" s="47">
        <f t="shared" si="2"/>
        <v>7.4614065180102918</v>
      </c>
      <c r="K40" s="47">
        <f t="shared" si="3"/>
        <v>15.608919382504288</v>
      </c>
      <c r="L40" s="48">
        <f t="shared" si="4"/>
        <v>84.391080617495717</v>
      </c>
    </row>
    <row r="41" spans="1:12" x14ac:dyDescent="0.3">
      <c r="A41" s="49" t="s">
        <v>30</v>
      </c>
      <c r="B41" s="50" t="s">
        <v>17</v>
      </c>
      <c r="C41" s="51">
        <f>INDEX(GOV,13,2)</f>
        <v>25</v>
      </c>
      <c r="D41" s="51">
        <f>INDEX(GOV,13,3)</f>
        <v>113</v>
      </c>
      <c r="E41" s="51">
        <f>INDEX(GOV,13,4)</f>
        <v>35</v>
      </c>
      <c r="F41" s="52">
        <f t="shared" si="5"/>
        <v>148</v>
      </c>
      <c r="G41" s="53">
        <f t="shared" si="0"/>
        <v>352</v>
      </c>
      <c r="H41" s="53">
        <f>INDEX(GG_LAVORATIVI,1,14)</f>
        <v>500</v>
      </c>
      <c r="I41" s="54">
        <f t="shared" si="1"/>
        <v>22.6</v>
      </c>
      <c r="J41" s="54">
        <f t="shared" si="2"/>
        <v>7</v>
      </c>
      <c r="K41" s="54">
        <f t="shared" si="3"/>
        <v>29.6</v>
      </c>
      <c r="L41" s="55">
        <f t="shared" si="4"/>
        <v>70.400000000000006</v>
      </c>
    </row>
    <row r="42" spans="1:12" x14ac:dyDescent="0.3">
      <c r="A42" s="56" t="s">
        <v>30</v>
      </c>
      <c r="B42" s="72" t="s">
        <v>18</v>
      </c>
      <c r="C42" s="58">
        <f>INDEX(FPOL,13,2)</f>
        <v>47</v>
      </c>
      <c r="D42" s="58">
        <f>INDEX(FPOL,13,3)</f>
        <v>228</v>
      </c>
      <c r="E42" s="58">
        <f>INDEX(FPOL,13,4)</f>
        <v>98</v>
      </c>
      <c r="F42" s="59">
        <f t="shared" si="5"/>
        <v>326</v>
      </c>
      <c r="G42" s="60">
        <f t="shared" si="0"/>
        <v>614</v>
      </c>
      <c r="H42" s="60">
        <f>INDEX(GG_LAVORATIVI,2,14)</f>
        <v>940</v>
      </c>
      <c r="I42" s="61">
        <f t="shared" si="1"/>
        <v>24.25531914893617</v>
      </c>
      <c r="J42" s="61">
        <f t="shared" si="2"/>
        <v>10.425531914893616</v>
      </c>
      <c r="K42" s="61">
        <f t="shared" si="3"/>
        <v>34.680851063829785</v>
      </c>
      <c r="L42" s="62">
        <f t="shared" si="4"/>
        <v>65.319148936170208</v>
      </c>
    </row>
    <row r="43" spans="1:12" ht="15" thickBot="1" x14ac:dyDescent="0.35">
      <c r="A43" s="63" t="s">
        <v>30</v>
      </c>
      <c r="B43" s="73" t="s">
        <v>19</v>
      </c>
      <c r="C43" s="65">
        <f>INDEX(SP,13,2)</f>
        <v>53</v>
      </c>
      <c r="D43" s="65">
        <f>INDEX(SP,13,3)</f>
        <v>187</v>
      </c>
      <c r="E43" s="65">
        <f>INDEX(SP,13,4)</f>
        <v>138</v>
      </c>
      <c r="F43" s="74">
        <f t="shared" si="5"/>
        <v>325</v>
      </c>
      <c r="G43" s="67">
        <f t="shared" si="0"/>
        <v>735</v>
      </c>
      <c r="H43" s="67">
        <f>INDEX(GG_LAVORATIVI,3,14)</f>
        <v>1060</v>
      </c>
      <c r="I43" s="68">
        <f t="shared" si="1"/>
        <v>17.641509433962263</v>
      </c>
      <c r="J43" s="68">
        <f t="shared" si="2"/>
        <v>13.018867924528301</v>
      </c>
      <c r="K43" s="68">
        <f t="shared" si="3"/>
        <v>30.660377358490567</v>
      </c>
      <c r="L43" s="69">
        <f t="shared" si="4"/>
        <v>69.339622641509436</v>
      </c>
    </row>
  </sheetData>
  <autoFilter ref="A7:L7" xr:uid="{71CD841A-5184-46C5-81EF-0F5900B6D436}"/>
  <dataConsolidate topLabels="1">
    <dataRefs count="1">
      <dataRef ref="A10:A13" sheet="MONITORAGGIO TRASPARENZA DA PUB" r:id="rId1"/>
    </dataRefs>
  </dataConsolidate>
  <mergeCells count="10">
    <mergeCell ref="L5:L6"/>
    <mergeCell ref="B2:K3"/>
    <mergeCell ref="B5:B6"/>
    <mergeCell ref="C5:C6"/>
    <mergeCell ref="D5:E5"/>
    <mergeCell ref="F5:F6"/>
    <mergeCell ref="G5:G6"/>
    <mergeCell ref="H5:H6"/>
    <mergeCell ref="I5:J5"/>
    <mergeCell ref="K5:K6"/>
  </mergeCells>
  <conditionalFormatting sqref="H8:H32">
    <cfRule type="cellIs" dxfId="1" priority="2" stopIfTrue="1" operator="lessThan">
      <formula>0</formula>
    </cfRule>
  </conditionalFormatting>
  <conditionalFormatting sqref="H33:H4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MONITORAGGIO TRASPARENZA DA PUB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2022-05-25T13:52:50Z</dcterms:created>
  <dcterms:modified xsi:type="dcterms:W3CDTF">2022-05-25T13:53:03Z</dcterms:modified>
</cp:coreProperties>
</file>